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Cécile\championnats 2017\benjamins\"/>
    </mc:Choice>
  </mc:AlternateContent>
  <bookViews>
    <workbookView xWindow="0" yWindow="0" windowWidth="16392" windowHeight="5364"/>
  </bookViews>
  <sheets>
    <sheet name="Fiche de renseignements compéti" sheetId="16" r:id="rId1"/>
    <sheet name="Organisation" sheetId="15" r:id="rId2"/>
    <sheet name="grille" sheetId="9" r:id="rId3"/>
    <sheet name="poules" sheetId="1" r:id="rId4"/>
    <sheet name="Classement" sheetId="17" r:id="rId5"/>
    <sheet name="calcul" sheetId="20" r:id="rId6"/>
    <sheet name="Arbitres" sheetId="18" r:id="rId7"/>
    <sheet name="emmargement" sheetId="19" r:id="rId8"/>
  </sheets>
  <externalReferences>
    <externalReference r:id="rId9"/>
    <externalReference r:id="rId10"/>
  </externalReferences>
  <definedNames>
    <definedName name="_pa1">'Fiche de renseignements compéti'!$B$19</definedName>
    <definedName name="_pa5">'Fiche de renseignements compéti'!$B$20</definedName>
    <definedName name="_pa9">'Fiche de renseignements compéti'!$B$21</definedName>
    <definedName name="_pb10">'Fiche de renseignements compéti'!$B$26</definedName>
    <definedName name="_pb2">'Fiche de renseignements compéti'!$B$24</definedName>
    <definedName name="_pb6">'Fiche de renseignements compéti'!$B$25</definedName>
    <definedName name="_pc11">'Fiche de renseignements compéti'!$B$32</definedName>
    <definedName name="_pc3">'Fiche de renseignements compéti'!$B$30</definedName>
    <definedName name="_pc7">'Fiche de renseignements compéti'!$B$31</definedName>
    <definedName name="_pd12">'Fiche de renseignements compéti'!$B$38</definedName>
    <definedName name="_pd4">'Fiche de renseignements compéti'!$B$36</definedName>
    <definedName name="_pd8">'Fiche de renseignements compéti'!$B$37</definedName>
    <definedName name="catégorie" localSheetId="5">'[1]Fiche de renseignements compéti'!$C$5</definedName>
    <definedName name="catégorie">'Fiche de renseignements compéti'!$C$5</definedName>
    <definedName name="date" localSheetId="5">'[1]Fiche de renseignements compéti'!$C$6</definedName>
    <definedName name="date">'Fiche de renseignements compéti'!$C$6</definedName>
    <definedName name="durée1" localSheetId="5">'[1]Fiche de renseignements compéti'!$C$9</definedName>
    <definedName name="durée1">'Fiche de renseignements compéti'!$C$9</definedName>
    <definedName name="duréematch">'Fiche de renseignements compéti'!$C$8</definedName>
    <definedName name="e3c">poules!$C$26</definedName>
    <definedName name="e3d">poules!$C$27</definedName>
    <definedName name="e4x">poules!$C$25</definedName>
    <definedName name="Equipes">calcul!$B$39:$F$39</definedName>
    <definedName name="etiquette">calcul!$B$39:$F$39</definedName>
    <definedName name="f_151">poules!$C$44</definedName>
    <definedName name="f_152">poules!$C$43</definedName>
    <definedName name="f_191">poules!$J$39</definedName>
    <definedName name="f_192">poules!$J$40</definedName>
    <definedName name="f_1e">poules!$P$36</definedName>
    <definedName name="f_1f">poules!$T$36</definedName>
    <definedName name="f_1f1">poules!$R$43</definedName>
    <definedName name="f_1f2">poules!$R$44</definedName>
    <definedName name="f_251">poules!$R$40</definedName>
    <definedName name="f_252">poules!$R$39</definedName>
    <definedName name="f_291">poules!$C$39</definedName>
    <definedName name="f_292">poules!$C$40</definedName>
    <definedName name="f_2e">poules!$C$35</definedName>
    <definedName name="f_2f">poules!$G$36</definedName>
    <definedName name="f_2f1">poules!$J$43</definedName>
    <definedName name="f_2f2">poules!$J$44</definedName>
    <definedName name="f_3e">poules!$G$35</definedName>
    <definedName name="f_3f">poules!$C$36</definedName>
    <definedName name="f_3g">poules!$P$35</definedName>
    <definedName name="f_4g">poules!$T$35</definedName>
    <definedName name="f1_1x">poules!$P$31</definedName>
    <definedName name="f1_2g">poules!$P$32</definedName>
    <definedName name="f2_1g">poules!$T$32</definedName>
    <definedName name="f2_1y">poules!$T$31</definedName>
    <definedName name="f3a">poules!$C$31</definedName>
    <definedName name="f3b">poules!$C$32</definedName>
    <definedName name="f4y">poules!$C$30</definedName>
    <definedName name="g2x">poules!$P$25</definedName>
    <definedName name="g2y">poules!$P$27</definedName>
    <definedName name="g3x">poules!$P$26</definedName>
    <definedName name="g3y">poules!$P$28</definedName>
    <definedName name="_xlnm.Print_Titles" localSheetId="2">grille!$1:$8</definedName>
    <definedName name="lieu" localSheetId="5">'[1]Fiche de renseignements compéti'!$C$7</definedName>
    <definedName name="lieu">'Fiche de renseignements compéti'!$C$7</definedName>
    <definedName name="m10b">calcul!$K$11</definedName>
    <definedName name="m10n">calcul!$J$11</definedName>
    <definedName name="m11b">calcul!$K$12</definedName>
    <definedName name="M11N">calcul!$J$12</definedName>
    <definedName name="m12b">calcul!$K$13</definedName>
    <definedName name="m12n">calcul!$J$13</definedName>
    <definedName name="m13b">calcul!$K$14</definedName>
    <definedName name="m13n">calcul!$J$14</definedName>
    <definedName name="m14b">calcul!$K$15</definedName>
    <definedName name="m14n">calcul!$J$15</definedName>
    <definedName name="m15b">calcul!$K$16</definedName>
    <definedName name="m15n">calcul!$J$16</definedName>
    <definedName name="m16b">calcul!$K$17</definedName>
    <definedName name="m16n">calcul!$J$17</definedName>
    <definedName name="m17b">calcul!$K$18</definedName>
    <definedName name="m17n">calcul!$J$18</definedName>
    <definedName name="m18b">calcul!$K$19</definedName>
    <definedName name="m18n">calcul!$J$19</definedName>
    <definedName name="m19b">calcul!$K$20</definedName>
    <definedName name="m19n">calcul!$J$20</definedName>
    <definedName name="m1b">calcul!$K$2</definedName>
    <definedName name="m1n">calcul!$J$2</definedName>
    <definedName name="m2_1">[1]poules!$C$21</definedName>
    <definedName name="m2_2">[1]poules!$X$21</definedName>
    <definedName name="m2_3">[1]poules!$P$21</definedName>
    <definedName name="m2_4">[1]poules!$G$21</definedName>
    <definedName name="m2_5">[1]poules!$G$22</definedName>
    <definedName name="m2_6">[1]poules!$P$22</definedName>
    <definedName name="m2_7">[1]poules!$X$22</definedName>
    <definedName name="m2_8">[1]poules!$C$22</definedName>
    <definedName name="m2_g29">[1]poules!$Q$26</definedName>
    <definedName name="m2_g30">[1]poules!$Q$25</definedName>
    <definedName name="m2_g31">[1]poules!$Z$26</definedName>
    <definedName name="m2_g32">[1]poules!$Z$25</definedName>
    <definedName name="m2_g33">[1]poules!$H$30</definedName>
    <definedName name="m2_g34">[1]poules!$H$29</definedName>
    <definedName name="m2_g35">[1]poules!$Z$30</definedName>
    <definedName name="m2_g36">[1]poules!$Z$29</definedName>
    <definedName name="m2_p29">[1]poules!$C$26</definedName>
    <definedName name="m2_p30">[1]poules!$C$25</definedName>
    <definedName name="m2_p31">[1]poules!$H$26</definedName>
    <definedName name="m2_p32">[1]poules!$H$25</definedName>
    <definedName name="m2_p33">[1]poules!$C$30</definedName>
    <definedName name="m2_p34">[1]poules!$C$29</definedName>
    <definedName name="m2_p35">[1]poules!$Q$30</definedName>
    <definedName name="m2_p36">[1]poules!$Q$29</definedName>
    <definedName name="m20b">calcul!$K$21</definedName>
    <definedName name="m20n">calcul!$J$21</definedName>
    <definedName name="m21b">calcul!$K$22</definedName>
    <definedName name="m21n">calcul!$J$22</definedName>
    <definedName name="m22b">calcul!$K$23</definedName>
    <definedName name="m22n">calcul!$J$23</definedName>
    <definedName name="m23b">calcul!$K$27</definedName>
    <definedName name="m23n">calcul!$J$27</definedName>
    <definedName name="m24b">calcul!$K$28</definedName>
    <definedName name="m24n">calcul!$J$28</definedName>
    <definedName name="m25b">calcul!$K$29</definedName>
    <definedName name="m25n">calcul!$J$29</definedName>
    <definedName name="m26b">calcul!$K$30</definedName>
    <definedName name="m26n">calcul!$J$30</definedName>
    <definedName name="m27b">calcul!$K$31</definedName>
    <definedName name="m27n">calcul!$J$31</definedName>
    <definedName name="m28b">calcul!$K$32</definedName>
    <definedName name="m28n">calcul!$J$32</definedName>
    <definedName name="m29b">calcul!$K$33</definedName>
    <definedName name="m29n">calcul!$J$33</definedName>
    <definedName name="m2a">'[1]Fiche de renseignements compéti'!$B$17</definedName>
    <definedName name="m2b">'[1]Fiche de renseignements compéti'!$B$18</definedName>
    <definedName name="m2c">'[1]Fiche de renseignements compéti'!$B$19</definedName>
    <definedName name="m2d">'[1]Fiche de renseignements compéti'!$B$20</definedName>
    <definedName name="m2e">'[1]Fiche de renseignements compéti'!$B$21</definedName>
    <definedName name="m2f">'[1]Fiche de renseignements compéti'!$B$22</definedName>
    <definedName name="m2g">'[1]Fiche de renseignements compéti'!$B$23</definedName>
    <definedName name="m2h">'[1]Fiche de renseignements compéti'!$B$24</definedName>
    <definedName name="m2n">calcul!$J$3</definedName>
    <definedName name="m30b">calcul!$K$34</definedName>
    <definedName name="m30n">calcul!$J$34</definedName>
    <definedName name="m3b">calcul!$K$4</definedName>
    <definedName name="m3n">calcul!$J$4</definedName>
    <definedName name="m4b">calcul!$K$5</definedName>
    <definedName name="m4n">calcul!$J$5</definedName>
    <definedName name="m5b">calcul!$K$6</definedName>
    <definedName name="m5n">calcul!$J$6</definedName>
    <definedName name="m6b">calcul!$K$7</definedName>
    <definedName name="m6n">calcul!$J$7</definedName>
    <definedName name="m7b">calcul!$K$8</definedName>
    <definedName name="m7n">calcul!$J$8</definedName>
    <definedName name="m8b">calcul!$K$9</definedName>
    <definedName name="m8n">calcul!$J$9</definedName>
    <definedName name="m9b">calcul!$K$10</definedName>
    <definedName name="m9n">calcul!$J$10</definedName>
    <definedName name="ma2b">calcul!$K$3</definedName>
    <definedName name="saison" localSheetId="5">'[1]Fiche de renseignements compéti'!$C$4</definedName>
    <definedName name="saison">'Fiche de renseignements compéti'!$C$4</definedName>
    <definedName name="SurveillanceAquatique" localSheetId="1">[2]grille!#REF!</definedName>
    <definedName name="SurveillancePrincipal" localSheetId="1">[2]grille!#REF!</definedName>
    <definedName name="x1a">poules!$C$19</definedName>
    <definedName name="x1b">poules!$C$21</definedName>
    <definedName name="x2a">poules!$C$20</definedName>
    <definedName name="x2b">poules!$C$22</definedName>
    <definedName name="y1c">poules!$P$19</definedName>
    <definedName name="y1d">poules!$P$21</definedName>
    <definedName name="y2c">poules!$P$20</definedName>
    <definedName name="y2d">poules!$P$22</definedName>
    <definedName name="_xlnm.Print_Area" localSheetId="7">emmargement!$A$1:$G$38</definedName>
    <definedName name="_xlnm.Print_Area" localSheetId="2">grille!$A$1:$P$54</definedName>
    <definedName name="_xlnm.Print_Area" localSheetId="1">Organisation!$A$1:$I$33</definedName>
  </definedNames>
  <calcPr calcId="152511"/>
  <pivotCaches>
    <pivotCache cacheId="4" r:id="rId11"/>
    <pivotCache cacheId="5" r:id="rId12"/>
    <pivotCache cacheId="6" r:id="rId13"/>
    <pivotCache cacheId="7" r:id="rId14"/>
  </pivotCaches>
</workbook>
</file>

<file path=xl/calcChain.xml><?xml version="1.0" encoding="utf-8"?>
<calcChain xmlns="http://schemas.openxmlformats.org/spreadsheetml/2006/main">
  <c r="B11" i="9" l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K36" i="1"/>
  <c r="K35" i="1"/>
  <c r="J35" i="1"/>
  <c r="I35" i="1"/>
  <c r="H35" i="1"/>
  <c r="C34" i="9"/>
  <c r="D36" i="1"/>
  <c r="D35" i="1"/>
  <c r="J39" i="1" s="1"/>
  <c r="D49" i="9" s="1"/>
  <c r="V44" i="1"/>
  <c r="V43" i="1"/>
  <c r="O44" i="1"/>
  <c r="O43" i="1"/>
  <c r="D44" i="1"/>
  <c r="D43" i="1"/>
  <c r="V40" i="1"/>
  <c r="V39" i="1"/>
  <c r="O40" i="1"/>
  <c r="O39" i="1"/>
  <c r="D40" i="1"/>
  <c r="D39" i="1"/>
  <c r="E40" i="1" s="1"/>
  <c r="Q36" i="1"/>
  <c r="Q35" i="1"/>
  <c r="R39" i="1" s="1"/>
  <c r="D50" i="9" s="1"/>
  <c r="X36" i="1"/>
  <c r="X35" i="1"/>
  <c r="C44" i="1" s="1"/>
  <c r="B15" i="17" s="1"/>
  <c r="X32" i="1"/>
  <c r="X31" i="1"/>
  <c r="Q32" i="1"/>
  <c r="Q31" i="1"/>
  <c r="J43" i="1" s="1"/>
  <c r="D52" i="9" s="1"/>
  <c r="A24" i="20"/>
  <c r="B24" i="20"/>
  <c r="C24" i="20"/>
  <c r="D24" i="20"/>
  <c r="E24" i="20"/>
  <c r="F24" i="20"/>
  <c r="H24" i="20"/>
  <c r="I24" i="20"/>
  <c r="A25" i="20"/>
  <c r="B25" i="20"/>
  <c r="C25" i="20"/>
  <c r="D25" i="20"/>
  <c r="E25" i="20"/>
  <c r="F25" i="20"/>
  <c r="H25" i="20"/>
  <c r="I25" i="20"/>
  <c r="A26" i="20"/>
  <c r="B26" i="20"/>
  <c r="C26" i="20"/>
  <c r="D26" i="20"/>
  <c r="E26" i="20"/>
  <c r="F26" i="20"/>
  <c r="J26" i="20" s="1"/>
  <c r="H26" i="20"/>
  <c r="I26" i="20"/>
  <c r="A31" i="20"/>
  <c r="C31" i="20"/>
  <c r="C90" i="20" s="1"/>
  <c r="D31" i="20"/>
  <c r="E31" i="20"/>
  <c r="F31" i="20"/>
  <c r="E98" i="20" s="1"/>
  <c r="F90" i="20"/>
  <c r="H31" i="20"/>
  <c r="C98" i="20" s="1"/>
  <c r="A32" i="20"/>
  <c r="A99" i="20"/>
  <c r="C32" i="20"/>
  <c r="C91" i="20" s="1"/>
  <c r="D32" i="20"/>
  <c r="E32" i="20"/>
  <c r="E91" i="20" s="1"/>
  <c r="F32" i="20"/>
  <c r="H32" i="20"/>
  <c r="C99" i="20"/>
  <c r="A33" i="20"/>
  <c r="A100" i="20" s="1"/>
  <c r="C33" i="20"/>
  <c r="C92" i="20"/>
  <c r="D33" i="20"/>
  <c r="E33" i="20"/>
  <c r="F33" i="20"/>
  <c r="F92" i="20" s="1"/>
  <c r="H33" i="20"/>
  <c r="C100" i="20" s="1"/>
  <c r="A34" i="20"/>
  <c r="C34" i="20"/>
  <c r="C93" i="20" s="1"/>
  <c r="D34" i="20"/>
  <c r="E34" i="20"/>
  <c r="E93" i="20"/>
  <c r="F34" i="20"/>
  <c r="E101" i="20"/>
  <c r="H34" i="20"/>
  <c r="C101" i="20" s="1"/>
  <c r="A30" i="20"/>
  <c r="A89" i="20" s="1"/>
  <c r="A97" i="20"/>
  <c r="C30" i="20"/>
  <c r="C89" i="20" s="1"/>
  <c r="D30" i="20"/>
  <c r="E30" i="20"/>
  <c r="F97" i="20"/>
  <c r="F30" i="20"/>
  <c r="H30" i="20"/>
  <c r="C97" i="20" s="1"/>
  <c r="A27" i="20"/>
  <c r="A86" i="20" s="1"/>
  <c r="C27" i="20"/>
  <c r="C86" i="20" s="1"/>
  <c r="D27" i="20"/>
  <c r="E27" i="20"/>
  <c r="E86" i="20"/>
  <c r="F27" i="20"/>
  <c r="K27" i="20" s="1"/>
  <c r="S27" i="1" s="1"/>
  <c r="H27" i="20"/>
  <c r="C94" i="20" s="1"/>
  <c r="A28" i="20"/>
  <c r="C28" i="20"/>
  <c r="C87" i="20"/>
  <c r="D28" i="20"/>
  <c r="E28" i="20"/>
  <c r="F28" i="20"/>
  <c r="E95" i="20" s="1"/>
  <c r="H28" i="20"/>
  <c r="C95" i="20" s="1"/>
  <c r="A29" i="20"/>
  <c r="C29" i="20"/>
  <c r="C88" i="20" s="1"/>
  <c r="D29" i="20"/>
  <c r="E29" i="20"/>
  <c r="K29" i="20" s="1"/>
  <c r="E26" i="1" s="1"/>
  <c r="F29" i="20"/>
  <c r="H29" i="20"/>
  <c r="C96" i="20" s="1"/>
  <c r="A17" i="20"/>
  <c r="A68" i="20" s="1"/>
  <c r="C17" i="20"/>
  <c r="C68" i="20" s="1"/>
  <c r="D17" i="20"/>
  <c r="E17" i="20"/>
  <c r="F17" i="20"/>
  <c r="H17" i="20"/>
  <c r="A18" i="20"/>
  <c r="A69" i="20" s="1"/>
  <c r="C18" i="20"/>
  <c r="C69" i="20" s="1"/>
  <c r="D18" i="20"/>
  <c r="E18" i="20"/>
  <c r="E69" i="20"/>
  <c r="F18" i="20"/>
  <c r="F69" i="20"/>
  <c r="H18" i="20"/>
  <c r="C79" i="20"/>
  <c r="A19" i="20"/>
  <c r="A70" i="20" s="1"/>
  <c r="C19" i="20"/>
  <c r="C70" i="20" s="1"/>
  <c r="D19" i="20"/>
  <c r="E19" i="20"/>
  <c r="F80" i="20"/>
  <c r="F19" i="20"/>
  <c r="H19" i="20"/>
  <c r="C80" i="20" s="1"/>
  <c r="A20" i="20"/>
  <c r="A71" i="20"/>
  <c r="C20" i="20"/>
  <c r="C71" i="20" s="1"/>
  <c r="D20" i="20"/>
  <c r="E20" i="20"/>
  <c r="E71" i="20" s="1"/>
  <c r="F20" i="20"/>
  <c r="H20" i="20"/>
  <c r="C81" i="20" s="1"/>
  <c r="A21" i="20"/>
  <c r="A82" i="20" s="1"/>
  <c r="C21" i="20"/>
  <c r="C72" i="20"/>
  <c r="D21" i="20"/>
  <c r="E21" i="20"/>
  <c r="E72" i="20" s="1"/>
  <c r="F21" i="20"/>
  <c r="F72" i="20" s="1"/>
  <c r="H21" i="20"/>
  <c r="C82" i="20" s="1"/>
  <c r="A22" i="20"/>
  <c r="A73" i="20"/>
  <c r="C22" i="20"/>
  <c r="C73" i="20" s="1"/>
  <c r="D22" i="20"/>
  <c r="E22" i="20"/>
  <c r="F22" i="20"/>
  <c r="H22" i="20"/>
  <c r="A23" i="20"/>
  <c r="A84" i="20" s="1"/>
  <c r="C23" i="20"/>
  <c r="C74" i="20" s="1"/>
  <c r="D23" i="20"/>
  <c r="E23" i="20"/>
  <c r="F84" i="20"/>
  <c r="F23" i="20"/>
  <c r="F74" i="20" s="1"/>
  <c r="H23" i="20"/>
  <c r="C84" i="20"/>
  <c r="A3" i="20"/>
  <c r="A53" i="20" s="1"/>
  <c r="C3" i="20"/>
  <c r="C41" i="20"/>
  <c r="D3" i="20"/>
  <c r="E3" i="20"/>
  <c r="F3" i="20"/>
  <c r="E53" i="20"/>
  <c r="H3" i="20"/>
  <c r="C53" i="20" s="1"/>
  <c r="A4" i="20"/>
  <c r="C4" i="20"/>
  <c r="C42" i="20" s="1"/>
  <c r="D4" i="20"/>
  <c r="E4" i="20"/>
  <c r="F4" i="20"/>
  <c r="H4" i="20"/>
  <c r="C54" i="20"/>
  <c r="A5" i="20"/>
  <c r="A55" i="20" s="1"/>
  <c r="C5" i="20"/>
  <c r="C43" i="20"/>
  <c r="D5" i="20"/>
  <c r="E5" i="20"/>
  <c r="F5" i="20"/>
  <c r="J5" i="20" s="1"/>
  <c r="Q14" i="1" s="1"/>
  <c r="H5" i="20"/>
  <c r="C55" i="20" s="1"/>
  <c r="A6" i="20"/>
  <c r="C6" i="20"/>
  <c r="C44" i="20"/>
  <c r="D6" i="20"/>
  <c r="E6" i="20"/>
  <c r="F6" i="20"/>
  <c r="H6" i="20"/>
  <c r="C56" i="20" s="1"/>
  <c r="A7" i="20"/>
  <c r="C7" i="20"/>
  <c r="C45" i="20" s="1"/>
  <c r="D7" i="20"/>
  <c r="E7" i="20"/>
  <c r="F57" i="20"/>
  <c r="F7" i="20"/>
  <c r="H7" i="20"/>
  <c r="C57" i="20"/>
  <c r="A8" i="20"/>
  <c r="C8" i="20"/>
  <c r="C46" i="20"/>
  <c r="D8" i="20"/>
  <c r="E8" i="20"/>
  <c r="E46" i="20" s="1"/>
  <c r="F8" i="20"/>
  <c r="J8" i="20" s="1"/>
  <c r="E15" i="1" s="1"/>
  <c r="H8" i="20"/>
  <c r="C58" i="20"/>
  <c r="A9" i="20"/>
  <c r="A47" i="20"/>
  <c r="C9" i="20"/>
  <c r="C47" i="20"/>
  <c r="D9" i="20"/>
  <c r="E9" i="20"/>
  <c r="F59" i="20" s="1"/>
  <c r="F9" i="20"/>
  <c r="H9" i="20"/>
  <c r="C59" i="20" s="1"/>
  <c r="A10" i="20"/>
  <c r="C10" i="20"/>
  <c r="C48" i="20"/>
  <c r="D10" i="20"/>
  <c r="E10" i="20"/>
  <c r="F10" i="20"/>
  <c r="H10" i="20"/>
  <c r="C60" i="20"/>
  <c r="A11" i="20"/>
  <c r="A61" i="20"/>
  <c r="C11" i="20"/>
  <c r="C49" i="20"/>
  <c r="D11" i="20"/>
  <c r="E11" i="20"/>
  <c r="E49" i="20" s="1"/>
  <c r="F11" i="20"/>
  <c r="H11" i="20"/>
  <c r="C61" i="20" s="1"/>
  <c r="A12" i="20"/>
  <c r="A50" i="20" s="1"/>
  <c r="C12" i="20"/>
  <c r="C50" i="20" s="1"/>
  <c r="D12" i="20"/>
  <c r="E12" i="20"/>
  <c r="F12" i="20"/>
  <c r="E62" i="20" s="1"/>
  <c r="F50" i="20"/>
  <c r="H12" i="20"/>
  <c r="C62" i="20" s="1"/>
  <c r="A13" i="20"/>
  <c r="A51" i="20"/>
  <c r="C13" i="20"/>
  <c r="C51" i="20" s="1"/>
  <c r="D13" i="20"/>
  <c r="E13" i="20"/>
  <c r="E51" i="20" s="1"/>
  <c r="F13" i="20"/>
  <c r="H13" i="20"/>
  <c r="C63" i="20"/>
  <c r="A14" i="20"/>
  <c r="A65" i="20"/>
  <c r="C14" i="20"/>
  <c r="C65" i="20"/>
  <c r="D14" i="20"/>
  <c r="E14" i="20"/>
  <c r="F14" i="20"/>
  <c r="H14" i="20"/>
  <c r="C75" i="20" s="1"/>
  <c r="A15" i="20"/>
  <c r="A76" i="20" s="1"/>
  <c r="A66" i="20"/>
  <c r="C15" i="20"/>
  <c r="C66" i="20"/>
  <c r="D15" i="20"/>
  <c r="E15" i="20"/>
  <c r="F76" i="20" s="1"/>
  <c r="F15" i="20"/>
  <c r="E76" i="20" s="1"/>
  <c r="H15" i="20"/>
  <c r="C76" i="20" s="1"/>
  <c r="A16" i="20"/>
  <c r="A77" i="20" s="1"/>
  <c r="A67" i="20"/>
  <c r="C16" i="20"/>
  <c r="C67" i="20"/>
  <c r="D16" i="20"/>
  <c r="E16" i="20"/>
  <c r="F16" i="20"/>
  <c r="H16" i="20"/>
  <c r="C77" i="20"/>
  <c r="F2" i="20"/>
  <c r="E2" i="20"/>
  <c r="F52" i="20" s="1"/>
  <c r="H2" i="20"/>
  <c r="C52" i="20" s="1"/>
  <c r="D2" i="20"/>
  <c r="C2" i="20"/>
  <c r="C40" i="20"/>
  <c r="A2" i="20"/>
  <c r="A40" i="20" s="1"/>
  <c r="A52" i="20"/>
  <c r="C83" i="20"/>
  <c r="C78" i="20"/>
  <c r="A54" i="20"/>
  <c r="W36" i="1"/>
  <c r="V36" i="1"/>
  <c r="U36" i="1"/>
  <c r="J36" i="1"/>
  <c r="I36" i="1"/>
  <c r="H36" i="1"/>
  <c r="W35" i="1"/>
  <c r="V35" i="1"/>
  <c r="U35" i="1"/>
  <c r="W32" i="1"/>
  <c r="V32" i="1"/>
  <c r="U32" i="1"/>
  <c r="W31" i="1"/>
  <c r="V31" i="1"/>
  <c r="U31" i="1"/>
  <c r="K20" i="9"/>
  <c r="I13" i="20"/>
  <c r="B63" i="20" s="1"/>
  <c r="K19" i="9"/>
  <c r="I12" i="20" s="1"/>
  <c r="B62" i="20" s="1"/>
  <c r="K18" i="9"/>
  <c r="I11" i="20"/>
  <c r="B61" i="20" s="1"/>
  <c r="K17" i="9"/>
  <c r="I10" i="20" s="1"/>
  <c r="B60" i="20" s="1"/>
  <c r="K16" i="9"/>
  <c r="I9" i="20" s="1"/>
  <c r="B59" i="20" s="1"/>
  <c r="K15" i="9"/>
  <c r="I8" i="20" s="1"/>
  <c r="B58" i="20"/>
  <c r="K14" i="9"/>
  <c r="I7" i="20"/>
  <c r="B57" i="20" s="1"/>
  <c r="K13" i="9"/>
  <c r="I6" i="20" s="1"/>
  <c r="B56" i="20" s="1"/>
  <c r="K12" i="9"/>
  <c r="I5" i="20" s="1"/>
  <c r="B55" i="20" s="1"/>
  <c r="K11" i="9"/>
  <c r="I4" i="20" s="1"/>
  <c r="B54" i="20"/>
  <c r="K10" i="9"/>
  <c r="I3" i="20" s="1"/>
  <c r="B53" i="20" s="1"/>
  <c r="K9" i="9"/>
  <c r="I2" i="20" s="1"/>
  <c r="B52" i="20" s="1"/>
  <c r="D20" i="9"/>
  <c r="B13" i="20" s="1"/>
  <c r="B51" i="20" s="1"/>
  <c r="D19" i="9"/>
  <c r="B12" i="20" s="1"/>
  <c r="B50" i="20" s="1"/>
  <c r="D18" i="9"/>
  <c r="B11" i="20"/>
  <c r="B49" i="20" s="1"/>
  <c r="D17" i="9"/>
  <c r="B10" i="20" s="1"/>
  <c r="B48" i="20" s="1"/>
  <c r="D16" i="9"/>
  <c r="B9" i="20" s="1"/>
  <c r="B47" i="20" s="1"/>
  <c r="D15" i="9"/>
  <c r="B8" i="20" s="1"/>
  <c r="B46" i="20"/>
  <c r="D14" i="9"/>
  <c r="B7" i="20"/>
  <c r="B45" i="20" s="1"/>
  <c r="D13" i="9"/>
  <c r="B6" i="20" s="1"/>
  <c r="B44" i="20" s="1"/>
  <c r="D12" i="9"/>
  <c r="B5" i="20"/>
  <c r="B43" i="20" s="1"/>
  <c r="D11" i="9"/>
  <c r="B4" i="20" s="1"/>
  <c r="B42" i="20" s="1"/>
  <c r="D10" i="9"/>
  <c r="B3" i="20"/>
  <c r="B41" i="20" s="1"/>
  <c r="D9" i="9"/>
  <c r="B2" i="20" s="1"/>
  <c r="B40" i="20" s="1"/>
  <c r="P16" i="1"/>
  <c r="P15" i="1"/>
  <c r="P14" i="1"/>
  <c r="C16" i="1"/>
  <c r="C15" i="1"/>
  <c r="C14" i="1"/>
  <c r="P10" i="1"/>
  <c r="P9" i="1"/>
  <c r="P8" i="1"/>
  <c r="C10" i="1"/>
  <c r="C9" i="1"/>
  <c r="C8" i="1"/>
  <c r="G9" i="19"/>
  <c r="C10" i="19"/>
  <c r="C9" i="19"/>
  <c r="P28" i="9"/>
  <c r="P29" i="9"/>
  <c r="P30" i="9"/>
  <c r="P22" i="9"/>
  <c r="P23" i="9"/>
  <c r="P24" i="9"/>
  <c r="P25" i="9"/>
  <c r="P26" i="9"/>
  <c r="P27" i="9"/>
  <c r="P21" i="9"/>
  <c r="D4" i="18"/>
  <c r="D6" i="18"/>
  <c r="F6" i="18" s="1"/>
  <c r="G6" i="18"/>
  <c r="D3" i="18"/>
  <c r="G3" i="18"/>
  <c r="D9" i="18"/>
  <c r="F9" i="18" s="1"/>
  <c r="G9" i="18"/>
  <c r="D2" i="18"/>
  <c r="D7" i="18"/>
  <c r="G7" i="18" s="1"/>
  <c r="D5" i="18"/>
  <c r="G5" i="18" s="1"/>
  <c r="D8" i="18"/>
  <c r="B35" i="9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10" i="9"/>
  <c r="E5" i="1"/>
  <c r="D5" i="9"/>
  <c r="B4" i="9"/>
  <c r="B7" i="17"/>
  <c r="B6" i="17"/>
  <c r="B4" i="17"/>
  <c r="B3" i="17"/>
  <c r="M4" i="9"/>
  <c r="I2" i="9"/>
  <c r="I1" i="9"/>
  <c r="O4" i="1"/>
  <c r="C4" i="1"/>
  <c r="I2" i="1"/>
  <c r="I1" i="1"/>
  <c r="F39" i="1"/>
  <c r="F7" i="18"/>
  <c r="F58" i="20"/>
  <c r="F46" i="20"/>
  <c r="A60" i="20"/>
  <c r="A48" i="20"/>
  <c r="E60" i="20"/>
  <c r="F48" i="20"/>
  <c r="A49" i="20"/>
  <c r="F79" i="20"/>
  <c r="F81" i="20"/>
  <c r="F82" i="20"/>
  <c r="A83" i="20"/>
  <c r="A74" i="20"/>
  <c r="E74" i="20"/>
  <c r="A94" i="20"/>
  <c r="F94" i="20"/>
  <c r="E94" i="20"/>
  <c r="A95" i="20"/>
  <c r="A87" i="20"/>
  <c r="F87" i="20"/>
  <c r="E88" i="20"/>
  <c r="E96" i="20"/>
  <c r="K4" i="20"/>
  <c r="D15" i="1" s="1"/>
  <c r="G15" i="1" s="1"/>
  <c r="K10" i="20"/>
  <c r="F8" i="1" s="1"/>
  <c r="H9" i="1" s="1"/>
  <c r="J21" i="20"/>
  <c r="V21" i="1" s="1"/>
  <c r="K21" i="20"/>
  <c r="V20" i="1" s="1"/>
  <c r="X20" i="1" s="1"/>
  <c r="Y20" i="1" s="1"/>
  <c r="Z20" i="1" s="1"/>
  <c r="J23" i="20"/>
  <c r="D31" i="1" s="1"/>
  <c r="E40" i="20"/>
  <c r="A42" i="20"/>
  <c r="E42" i="20"/>
  <c r="F42" i="20"/>
  <c r="F43" i="20"/>
  <c r="F93" i="20"/>
  <c r="F99" i="20"/>
  <c r="E97" i="20"/>
  <c r="A43" i="20"/>
  <c r="F41" i="20"/>
  <c r="F66" i="20"/>
  <c r="F89" i="20"/>
  <c r="A63" i="20"/>
  <c r="E61" i="20"/>
  <c r="A59" i="20"/>
  <c r="K28" i="20"/>
  <c r="T28" i="1" s="1"/>
  <c r="E47" i="20"/>
  <c r="E44" i="1"/>
  <c r="F88" i="20"/>
  <c r="A81" i="20"/>
  <c r="A79" i="20"/>
  <c r="E77" i="20"/>
  <c r="A75" i="20"/>
  <c r="A62" i="20"/>
  <c r="F54" i="20"/>
  <c r="E55" i="20"/>
  <c r="E70" i="20"/>
  <c r="K2" i="20"/>
  <c r="D9" i="1" s="1"/>
  <c r="E43" i="1"/>
  <c r="K26" i="20"/>
  <c r="A91" i="20"/>
  <c r="K12" i="20"/>
  <c r="F14" i="1" s="1"/>
  <c r="J18" i="20"/>
  <c r="H22" i="1" s="1"/>
  <c r="P39" i="1"/>
  <c r="E45" i="20"/>
  <c r="J25" i="20"/>
  <c r="E87" i="20"/>
  <c r="W44" i="1"/>
  <c r="W43" i="1"/>
  <c r="X19" i="1"/>
  <c r="R40" i="1"/>
  <c r="K50" i="9" s="1"/>
  <c r="J40" i="1"/>
  <c r="K49" i="9" s="1"/>
  <c r="G2" i="18"/>
  <c r="F2" i="18"/>
  <c r="F3" i="18"/>
  <c r="G4" i="18"/>
  <c r="F4" i="18"/>
  <c r="F67" i="20"/>
  <c r="E59" i="20"/>
  <c r="F47" i="20"/>
  <c r="F55" i="20"/>
  <c r="E43" i="20"/>
  <c r="E89" i="20"/>
  <c r="F91" i="20"/>
  <c r="C40" i="1"/>
  <c r="J34" i="20"/>
  <c r="F32" i="1"/>
  <c r="K33" i="20"/>
  <c r="F25" i="1" s="1"/>
  <c r="I9" i="1" l="1"/>
  <c r="K9" i="1"/>
  <c r="F45" i="20"/>
  <c r="E57" i="20"/>
  <c r="J7" i="20"/>
  <c r="R9" i="1" s="1"/>
  <c r="F83" i="20"/>
  <c r="E73" i="20"/>
  <c r="E80" i="20"/>
  <c r="J19" i="20"/>
  <c r="I21" i="1" s="1"/>
  <c r="F68" i="20"/>
  <c r="E78" i="20"/>
  <c r="W27" i="1"/>
  <c r="F98" i="20"/>
  <c r="E90" i="20"/>
  <c r="J31" i="20"/>
  <c r="U28" i="1" s="1"/>
  <c r="B21" i="17"/>
  <c r="J27" i="20"/>
  <c r="S25" i="1" s="1"/>
  <c r="W25" i="1" s="1"/>
  <c r="J32" i="20"/>
  <c r="V27" i="1" s="1"/>
  <c r="K7" i="20"/>
  <c r="R10" i="1" s="1"/>
  <c r="F86" i="20"/>
  <c r="A92" i="20"/>
  <c r="A78" i="20"/>
  <c r="F40" i="20"/>
  <c r="J2" i="20"/>
  <c r="D8" i="1" s="1"/>
  <c r="G8" i="1" s="1"/>
  <c r="E52" i="20"/>
  <c r="E63" i="20"/>
  <c r="K13" i="20"/>
  <c r="S14" i="1" s="1"/>
  <c r="U16" i="1" s="1"/>
  <c r="A46" i="20"/>
  <c r="A58" i="20"/>
  <c r="A57" i="20"/>
  <c r="A45" i="20"/>
  <c r="K18" i="20"/>
  <c r="H19" i="1" s="1"/>
  <c r="E79" i="20"/>
  <c r="E68" i="20"/>
  <c r="F78" i="20"/>
  <c r="E39" i="1"/>
  <c r="C39" i="1"/>
  <c r="D48" i="9" s="1"/>
  <c r="K31" i="20"/>
  <c r="U25" i="1" s="1"/>
  <c r="X22" i="1"/>
  <c r="Y22" i="1" s="1"/>
  <c r="Z22" i="1" s="1"/>
  <c r="R43" i="1"/>
  <c r="D53" i="9" s="1"/>
  <c r="H14" i="1"/>
  <c r="H16" i="1"/>
  <c r="I16" i="1" s="1"/>
  <c r="W28" i="1"/>
  <c r="F70" i="20"/>
  <c r="E50" i="20"/>
  <c r="J12" i="20"/>
  <c r="F16" i="1" s="1"/>
  <c r="F62" i="20"/>
  <c r="F101" i="20"/>
  <c r="K34" i="20"/>
  <c r="F30" i="1" s="1"/>
  <c r="J29" i="20"/>
  <c r="E25" i="1" s="1"/>
  <c r="X21" i="1"/>
  <c r="Y21" i="1" s="1"/>
  <c r="Z21" i="1" s="1"/>
  <c r="K19" i="20"/>
  <c r="I20" i="1" s="1"/>
  <c r="K17" i="20"/>
  <c r="T22" i="1" s="1"/>
  <c r="E84" i="20"/>
  <c r="E82" i="20"/>
  <c r="A80" i="20"/>
  <c r="J9" i="20"/>
  <c r="R15" i="1" s="1"/>
  <c r="T15" i="1" s="1"/>
  <c r="K9" i="20"/>
  <c r="R16" i="1" s="1"/>
  <c r="A41" i="20"/>
  <c r="K23" i="20"/>
  <c r="D32" i="1" s="1"/>
  <c r="G32" i="1" s="1"/>
  <c r="F96" i="20"/>
  <c r="K30" i="20"/>
  <c r="E31" i="1" s="1"/>
  <c r="G31" i="1" s="1"/>
  <c r="J30" i="20"/>
  <c r="E30" i="1" s="1"/>
  <c r="E99" i="20"/>
  <c r="K32" i="20"/>
  <c r="V26" i="1" s="1"/>
  <c r="E100" i="20"/>
  <c r="C43" i="1"/>
  <c r="D51" i="9" s="1"/>
  <c r="F61" i="20"/>
  <c r="A72" i="20"/>
  <c r="K5" i="20"/>
  <c r="Q15" i="1" s="1"/>
  <c r="K25" i="20"/>
  <c r="T31" i="1"/>
  <c r="D43" i="9" s="1"/>
  <c r="B16" i="17"/>
  <c r="B14" i="17"/>
  <c r="K51" i="9"/>
  <c r="B17" i="17"/>
  <c r="U14" i="1"/>
  <c r="U15" i="1"/>
  <c r="H26" i="1"/>
  <c r="G25" i="1"/>
  <c r="H25" i="1"/>
  <c r="H27" i="1"/>
  <c r="E67" i="20"/>
  <c r="K16" i="20"/>
  <c r="S21" i="1" s="1"/>
  <c r="E66" i="20"/>
  <c r="J15" i="20"/>
  <c r="G20" i="1" s="1"/>
  <c r="E65" i="20"/>
  <c r="F75" i="20"/>
  <c r="J14" i="20"/>
  <c r="F19" i="1" s="1"/>
  <c r="F56" i="20"/>
  <c r="K6" i="20"/>
  <c r="E10" i="1" s="1"/>
  <c r="A56" i="20"/>
  <c r="A44" i="20"/>
  <c r="J3" i="20"/>
  <c r="Q8" i="1" s="1"/>
  <c r="T8" i="1" s="1"/>
  <c r="K3" i="20"/>
  <c r="Q9" i="1" s="1"/>
  <c r="T9" i="1" s="1"/>
  <c r="E41" i="20"/>
  <c r="F53" i="20"/>
  <c r="F73" i="20"/>
  <c r="E83" i="20"/>
  <c r="J22" i="20"/>
  <c r="D26" i="1" s="1"/>
  <c r="G26" i="1" s="1"/>
  <c r="F71" i="20"/>
  <c r="E81" i="20"/>
  <c r="J20" i="20"/>
  <c r="U22" i="1" s="1"/>
  <c r="A88" i="20"/>
  <c r="A96" i="20"/>
  <c r="A101" i="20"/>
  <c r="A93" i="20"/>
  <c r="B20" i="17"/>
  <c r="K20" i="20"/>
  <c r="U19" i="1" s="1"/>
  <c r="J16" i="20"/>
  <c r="S19" i="1" s="1"/>
  <c r="F51" i="20"/>
  <c r="K14" i="20"/>
  <c r="F21" i="1" s="1"/>
  <c r="J6" i="20"/>
  <c r="E9" i="1" s="1"/>
  <c r="G9" i="1" s="1"/>
  <c r="F63" i="20"/>
  <c r="J13" i="20"/>
  <c r="S16" i="1" s="1"/>
  <c r="T16" i="1" s="1"/>
  <c r="F49" i="20"/>
  <c r="K11" i="20"/>
  <c r="S8" i="1" s="1"/>
  <c r="J11" i="20"/>
  <c r="S10" i="1" s="1"/>
  <c r="T10" i="1" s="1"/>
  <c r="W39" i="1"/>
  <c r="W40" i="1"/>
  <c r="P43" i="1"/>
  <c r="P44" i="1"/>
  <c r="P28" i="1"/>
  <c r="K48" i="9"/>
  <c r="K16" i="1"/>
  <c r="E44" i="20"/>
  <c r="K15" i="20"/>
  <c r="G22" i="1" s="1"/>
  <c r="K24" i="20"/>
  <c r="J24" i="20"/>
  <c r="R44" i="1"/>
  <c r="J44" i="1"/>
  <c r="P40" i="1"/>
  <c r="B18" i="17"/>
  <c r="H15" i="1"/>
  <c r="B19" i="17"/>
  <c r="Y19" i="1"/>
  <c r="Z19" i="1" s="1"/>
  <c r="K22" i="20"/>
  <c r="D27" i="1" s="1"/>
  <c r="J17" i="20"/>
  <c r="T20" i="1" s="1"/>
  <c r="H8" i="1"/>
  <c r="H10" i="1"/>
  <c r="F77" i="20"/>
  <c r="G8" i="18"/>
  <c r="F8" i="18"/>
  <c r="J4" i="20"/>
  <c r="D14" i="1" s="1"/>
  <c r="G14" i="1" s="1"/>
  <c r="E54" i="20"/>
  <c r="F95" i="20"/>
  <c r="J28" i="20"/>
  <c r="T26" i="1" s="1"/>
  <c r="W26" i="1" s="1"/>
  <c r="F100" i="20"/>
  <c r="E92" i="20"/>
  <c r="J33" i="20"/>
  <c r="F27" i="1" s="1"/>
  <c r="A90" i="20"/>
  <c r="A98" i="20"/>
  <c r="E58" i="20"/>
  <c r="K8" i="20"/>
  <c r="E16" i="1" s="1"/>
  <c r="G16" i="1" s="1"/>
  <c r="F5" i="18"/>
  <c r="F65" i="20"/>
  <c r="E75" i="20"/>
  <c r="F60" i="20"/>
  <c r="E48" i="20"/>
  <c r="J10" i="20"/>
  <c r="F10" i="1" s="1"/>
  <c r="E56" i="20"/>
  <c r="F44" i="20"/>
  <c r="P27" i="1" l="1"/>
  <c r="X27" i="1"/>
  <c r="Y27" i="1" s="1"/>
  <c r="Z27" i="1" s="1"/>
  <c r="X28" i="1"/>
  <c r="Y28" i="1" s="1"/>
  <c r="Z28" i="1" s="1"/>
  <c r="X25" i="1"/>
  <c r="X26" i="1"/>
  <c r="Y26" i="1" s="1"/>
  <c r="Z26" i="1" s="1"/>
  <c r="H32" i="1"/>
  <c r="C36" i="1" s="1"/>
  <c r="K45" i="9" s="1"/>
  <c r="H31" i="1"/>
  <c r="H30" i="1"/>
  <c r="K14" i="1"/>
  <c r="I14" i="1"/>
  <c r="K20" i="1"/>
  <c r="L20" i="1" s="1"/>
  <c r="M20" i="1" s="1"/>
  <c r="K19" i="1"/>
  <c r="K22" i="1"/>
  <c r="L22" i="1" s="1"/>
  <c r="M22" i="1" s="1"/>
  <c r="K21" i="1"/>
  <c r="L21" i="1" s="1"/>
  <c r="M21" i="1" s="1"/>
  <c r="G30" i="1"/>
  <c r="T14" i="1"/>
  <c r="C30" i="1"/>
  <c r="K41" i="9" s="1"/>
  <c r="I34" i="20" s="1"/>
  <c r="B101" i="20" s="1"/>
  <c r="D37" i="9"/>
  <c r="B30" i="20" s="1"/>
  <c r="B89" i="20" s="1"/>
  <c r="V16" i="1"/>
  <c r="X16" i="1"/>
  <c r="G27" i="1"/>
  <c r="K52" i="9"/>
  <c r="B12" i="17"/>
  <c r="B13" i="17"/>
  <c r="K35" i="9"/>
  <c r="I28" i="20" s="1"/>
  <c r="B95" i="20" s="1"/>
  <c r="D38" i="9"/>
  <c r="B31" i="20" s="1"/>
  <c r="B90" i="20" s="1"/>
  <c r="G10" i="1"/>
  <c r="K15" i="1"/>
  <c r="I15" i="1"/>
  <c r="C26" i="1"/>
  <c r="P19" i="1"/>
  <c r="K34" i="9"/>
  <c r="I27" i="20" s="1"/>
  <c r="B94" i="20" s="1"/>
  <c r="D39" i="9"/>
  <c r="B32" i="20" s="1"/>
  <c r="B91" i="20" s="1"/>
  <c r="K10" i="1"/>
  <c r="I10" i="1"/>
  <c r="B11" i="17"/>
  <c r="K53" i="9"/>
  <c r="B10" i="17"/>
  <c r="X15" i="1"/>
  <c r="V15" i="1"/>
  <c r="K8" i="1"/>
  <c r="C20" i="1"/>
  <c r="C19" i="1"/>
  <c r="C31" i="1"/>
  <c r="I8" i="1"/>
  <c r="P20" i="1"/>
  <c r="U8" i="1"/>
  <c r="U9" i="1"/>
  <c r="U10" i="1"/>
  <c r="K26" i="1"/>
  <c r="I27" i="1"/>
  <c r="G35" i="1"/>
  <c r="D44" i="9" s="1"/>
  <c r="K27" i="1"/>
  <c r="P36" i="1"/>
  <c r="K47" i="9" s="1"/>
  <c r="I26" i="1"/>
  <c r="C35" i="1"/>
  <c r="D45" i="9" s="1"/>
  <c r="I25" i="1"/>
  <c r="K25" i="1"/>
  <c r="C27" i="1"/>
  <c r="P21" i="1"/>
  <c r="V14" i="1"/>
  <c r="P22" i="1"/>
  <c r="X14" i="1"/>
  <c r="L19" i="1" l="1"/>
  <c r="M19" i="1" s="1"/>
  <c r="P31" i="1"/>
  <c r="D42" i="9" s="1"/>
  <c r="C25" i="1"/>
  <c r="P26" i="1"/>
  <c r="P25" i="1"/>
  <c r="I30" i="1"/>
  <c r="T36" i="1"/>
  <c r="K46" i="9" s="1"/>
  <c r="K30" i="1"/>
  <c r="I32" i="1"/>
  <c r="I31" i="1"/>
  <c r="K32" i="1"/>
  <c r="K31" i="1"/>
  <c r="G36" i="1"/>
  <c r="K44" i="9" s="1"/>
  <c r="Y25" i="1"/>
  <c r="Z25" i="1" s="1"/>
  <c r="P32" i="1"/>
  <c r="K42" i="9" s="1"/>
  <c r="T35" i="1"/>
  <c r="D46" i="9" s="1"/>
  <c r="T32" i="1"/>
  <c r="K43" i="9" s="1"/>
  <c r="P35" i="1"/>
  <c r="D47" i="9" s="1"/>
  <c r="D23" i="9"/>
  <c r="B16" i="20" s="1"/>
  <c r="B67" i="20" s="1"/>
  <c r="K27" i="9"/>
  <c r="I20" i="20" s="1"/>
  <c r="B81" i="20" s="1"/>
  <c r="Q19" i="1"/>
  <c r="W19" i="1" s="1"/>
  <c r="R21" i="1"/>
  <c r="W21" i="1" s="1"/>
  <c r="D28" i="9"/>
  <c r="B21" i="20" s="1"/>
  <c r="B72" i="20" s="1"/>
  <c r="K23" i="9"/>
  <c r="I16" i="20" s="1"/>
  <c r="B77" i="20" s="1"/>
  <c r="V9" i="1"/>
  <c r="X9" i="1"/>
  <c r="D30" i="9"/>
  <c r="B23" i="20" s="1"/>
  <c r="B74" i="20" s="1"/>
  <c r="K37" i="9"/>
  <c r="I30" i="20" s="1"/>
  <c r="B97" i="20" s="1"/>
  <c r="K36" i="9"/>
  <c r="I29" i="20" s="1"/>
  <c r="B96" i="20" s="1"/>
  <c r="D29" i="9"/>
  <c r="B22" i="20" s="1"/>
  <c r="B73" i="20" s="1"/>
  <c r="V10" i="1"/>
  <c r="X10" i="1"/>
  <c r="D40" i="9"/>
  <c r="B33" i="20" s="1"/>
  <c r="B92" i="20" s="1"/>
  <c r="K29" i="9"/>
  <c r="I22" i="20" s="1"/>
  <c r="B83" i="20" s="1"/>
  <c r="X8" i="1"/>
  <c r="C22" i="1"/>
  <c r="C21" i="1"/>
  <c r="C32" i="1"/>
  <c r="V8" i="1"/>
  <c r="D19" i="1"/>
  <c r="J19" i="1" s="1"/>
  <c r="K25" i="9"/>
  <c r="I18" i="20" s="1"/>
  <c r="B79" i="20" s="1"/>
  <c r="D21" i="9"/>
  <c r="B14" i="20" s="1"/>
  <c r="B65" i="20" s="1"/>
  <c r="R22" i="1"/>
  <c r="W22" i="1" s="1"/>
  <c r="D27" i="9"/>
  <c r="B20" i="20" s="1"/>
  <c r="B71" i="20" s="1"/>
  <c r="K24" i="9"/>
  <c r="I17" i="20" s="1"/>
  <c r="B78" i="20" s="1"/>
  <c r="Q20" i="1"/>
  <c r="W20" i="1" s="1"/>
  <c r="D24" i="9"/>
  <c r="B17" i="20" s="1"/>
  <c r="B68" i="20" s="1"/>
  <c r="K28" i="9"/>
  <c r="I21" i="20" s="1"/>
  <c r="B82" i="20" s="1"/>
  <c r="D20" i="1"/>
  <c r="J20" i="1" s="1"/>
  <c r="D22" i="9"/>
  <c r="B15" i="20" s="1"/>
  <c r="B66" i="20" s="1"/>
  <c r="K26" i="9"/>
  <c r="I19" i="20" s="1"/>
  <c r="B80" i="20" s="1"/>
  <c r="D34" i="9" l="1"/>
  <c r="B27" i="20" s="1"/>
  <c r="B86" i="20" s="1"/>
  <c r="K38" i="9"/>
  <c r="I31" i="20" s="1"/>
  <c r="B98" i="20" s="1"/>
  <c r="K39" i="9"/>
  <c r="I32" i="20" s="1"/>
  <c r="B99" i="20" s="1"/>
  <c r="D35" i="9"/>
  <c r="B28" i="20" s="1"/>
  <c r="B87" i="20" s="1"/>
  <c r="D36" i="9"/>
  <c r="B29" i="20" s="1"/>
  <c r="B88" i="20" s="1"/>
  <c r="K40" i="9"/>
  <c r="I33" i="20" s="1"/>
  <c r="B100" i="20" s="1"/>
  <c r="D41" i="9"/>
  <c r="B34" i="20" s="1"/>
  <c r="B93" i="20" s="1"/>
  <c r="K30" i="9"/>
  <c r="I23" i="20" s="1"/>
  <c r="B84" i="20" s="1"/>
  <c r="D26" i="9"/>
  <c r="B19" i="20" s="1"/>
  <c r="B70" i="20" s="1"/>
  <c r="K21" i="9"/>
  <c r="I14" i="20" s="1"/>
  <c r="B75" i="20" s="1"/>
  <c r="E21" i="1"/>
  <c r="J21" i="1" s="1"/>
  <c r="D25" i="9"/>
  <c r="B18" i="20" s="1"/>
  <c r="B69" i="20" s="1"/>
  <c r="E22" i="1"/>
  <c r="J22" i="1" s="1"/>
  <c r="K22" i="9"/>
  <c r="I15" i="20" s="1"/>
  <c r="B76" i="20" s="1"/>
</calcChain>
</file>

<file path=xl/sharedStrings.xml><?xml version="1.0" encoding="utf-8"?>
<sst xmlns="http://schemas.openxmlformats.org/spreadsheetml/2006/main" count="530" uniqueCount="229">
  <si>
    <t>Horaires</t>
  </si>
  <si>
    <t>Noir</t>
  </si>
  <si>
    <t>Blanc</t>
  </si>
  <si>
    <t>Equipes Blanches</t>
  </si>
  <si>
    <t>Equipes Noires</t>
  </si>
  <si>
    <t>Rep</t>
  </si>
  <si>
    <t>N°</t>
  </si>
  <si>
    <t>A1</t>
  </si>
  <si>
    <t>A5</t>
  </si>
  <si>
    <t>B2</t>
  </si>
  <si>
    <t>C3</t>
  </si>
  <si>
    <t>D4</t>
  </si>
  <si>
    <t>B6</t>
  </si>
  <si>
    <t>C7</t>
  </si>
  <si>
    <t>D8</t>
  </si>
  <si>
    <t>A9</t>
  </si>
  <si>
    <t>B10</t>
  </si>
  <si>
    <t>C11</t>
  </si>
  <si>
    <t>D12</t>
  </si>
  <si>
    <t>1A</t>
  </si>
  <si>
    <t>2A</t>
  </si>
  <si>
    <t>1C</t>
  </si>
  <si>
    <t>2C</t>
  </si>
  <si>
    <t>2B</t>
  </si>
  <si>
    <t>1B</t>
  </si>
  <si>
    <t>2D</t>
  </si>
  <si>
    <t>1D</t>
  </si>
  <si>
    <t>3C</t>
  </si>
  <si>
    <t>3D</t>
  </si>
  <si>
    <t>3A</t>
  </si>
  <si>
    <t>3B</t>
  </si>
  <si>
    <t>2X</t>
  </si>
  <si>
    <t>3X</t>
  </si>
  <si>
    <t>4X</t>
  </si>
  <si>
    <t>4Y</t>
  </si>
  <si>
    <t>3Y</t>
  </si>
  <si>
    <t>2Y</t>
  </si>
  <si>
    <t>1X</t>
  </si>
  <si>
    <t>1Y</t>
  </si>
  <si>
    <t>3E</t>
  </si>
  <si>
    <t>2E</t>
  </si>
  <si>
    <t>4G</t>
  </si>
  <si>
    <t>3G</t>
  </si>
  <si>
    <t>2f1</t>
  </si>
  <si>
    <t>1f1</t>
  </si>
  <si>
    <t>1f2</t>
  </si>
  <si>
    <t>2f2</t>
  </si>
  <si>
    <t>1E</t>
  </si>
  <si>
    <t>1G</t>
  </si>
  <si>
    <t>2G</t>
  </si>
  <si>
    <t>Coté Gradins au départ</t>
  </si>
  <si>
    <t xml:space="preserve">  Coté vitres au départ</t>
  </si>
  <si>
    <t xml:space="preserve">      Score</t>
  </si>
  <si>
    <t>Jour</t>
  </si>
  <si>
    <t>Poule A</t>
  </si>
  <si>
    <t>Poule B</t>
  </si>
  <si>
    <t>Poule C</t>
  </si>
  <si>
    <t>Poule D</t>
  </si>
  <si>
    <t>Poule Y</t>
  </si>
  <si>
    <t>Poule X</t>
  </si>
  <si>
    <t>Poule E</t>
  </si>
  <si>
    <t>Poule F</t>
  </si>
  <si>
    <t>Match F1</t>
  </si>
  <si>
    <t>Match F2</t>
  </si>
  <si>
    <t>Poule G</t>
  </si>
  <si>
    <t>Match 91</t>
  </si>
  <si>
    <t>Match 92</t>
  </si>
  <si>
    <t>3F</t>
  </si>
  <si>
    <t>Match 51</t>
  </si>
  <si>
    <t>Match 52</t>
  </si>
  <si>
    <t>1F</t>
  </si>
  <si>
    <t>Match 11/12</t>
  </si>
  <si>
    <t>Match 9/10</t>
  </si>
  <si>
    <t>Match 7/8</t>
  </si>
  <si>
    <t>Match 5/6</t>
  </si>
  <si>
    <t>Match 3/4</t>
  </si>
  <si>
    <t>Match 1/2</t>
  </si>
  <si>
    <t>2F</t>
  </si>
  <si>
    <t>2F1</t>
  </si>
  <si>
    <t>2F2</t>
  </si>
  <si>
    <t>1F1</t>
  </si>
  <si>
    <t>1F2</t>
  </si>
  <si>
    <t>Samedi</t>
  </si>
  <si>
    <t>Dimanche</t>
  </si>
  <si>
    <t>Aquatiques</t>
  </si>
  <si>
    <t>POULE A</t>
  </si>
  <si>
    <t>POULE B</t>
  </si>
  <si>
    <t>POULE C</t>
  </si>
  <si>
    <t>POULE D</t>
  </si>
  <si>
    <t>1A; 2A;3A</t>
  </si>
  <si>
    <t>1B;2B;3B</t>
  </si>
  <si>
    <t>1C;2C; 3C</t>
  </si>
  <si>
    <t>1D;2D;3D</t>
  </si>
  <si>
    <t>POULE X</t>
  </si>
  <si>
    <t>POULE Y</t>
  </si>
  <si>
    <t>POULE E</t>
  </si>
  <si>
    <t>POULE F</t>
  </si>
  <si>
    <t>1X; 2X;3X;4X</t>
  </si>
  <si>
    <t>1Y; 2Y;3Y;4Y</t>
  </si>
  <si>
    <t>POULE G</t>
  </si>
  <si>
    <t>1E;2E;3E</t>
  </si>
  <si>
    <t>1F;2F;3F</t>
  </si>
  <si>
    <t>1G; 2G;3G;4G</t>
  </si>
  <si>
    <t>191;291</t>
  </si>
  <si>
    <t>192;292</t>
  </si>
  <si>
    <t>1F1;2F1</t>
  </si>
  <si>
    <t>1F2;2F2</t>
  </si>
  <si>
    <t>151;251</t>
  </si>
  <si>
    <t>152;252</t>
  </si>
  <si>
    <t>Res</t>
  </si>
  <si>
    <t>Cl.t</t>
  </si>
  <si>
    <t>Buts
Contre</t>
  </si>
  <si>
    <t>Buts
Pour</t>
  </si>
  <si>
    <t>Saison</t>
  </si>
  <si>
    <t>Catégorie</t>
  </si>
  <si>
    <t>Date</t>
  </si>
  <si>
    <t>Lieu</t>
  </si>
  <si>
    <t xml:space="preserve">Durée des matchs </t>
  </si>
  <si>
    <t>Durée des matchs 
X, Y, V et W</t>
  </si>
  <si>
    <t>Saison :</t>
  </si>
  <si>
    <t xml:space="preserve">Lieu : </t>
  </si>
  <si>
    <t>CHAMPIONNAT DE France</t>
  </si>
  <si>
    <t>Date :</t>
  </si>
  <si>
    <t>Catégorie :</t>
  </si>
  <si>
    <t>Durée des matchs</t>
  </si>
  <si>
    <t>2*10' +2' de mi-temps +1' temps mort par  équipe +3' inter-match = 27'</t>
  </si>
  <si>
    <t>Club</t>
  </si>
  <si>
    <t>NOM</t>
  </si>
  <si>
    <t>PRENOM</t>
  </si>
  <si>
    <t>Prénom Nom</t>
  </si>
  <si>
    <t>PRINCIPAL</t>
  </si>
  <si>
    <t>AQUATIQUE</t>
  </si>
  <si>
    <t>CRITERE</t>
  </si>
  <si>
    <t>ARBITRES</t>
  </si>
  <si>
    <t>EMARGEMENT DES ARBITRES</t>
  </si>
  <si>
    <t>Prénom</t>
  </si>
  <si>
    <t>Comité</t>
  </si>
  <si>
    <t xml:space="preserve">Transport </t>
  </si>
  <si>
    <t>Hébergement</t>
  </si>
  <si>
    <t>Signature</t>
  </si>
  <si>
    <t>Fonction</t>
  </si>
  <si>
    <t>Commissaire</t>
  </si>
  <si>
    <t>Responsable Arbitrage et Stage AN2</t>
  </si>
  <si>
    <t>Arbitre</t>
  </si>
  <si>
    <t>tirage au sort des poules</t>
  </si>
  <si>
    <t>poule A</t>
  </si>
  <si>
    <t>poule B</t>
  </si>
  <si>
    <t>poule C</t>
  </si>
  <si>
    <t>poule D</t>
  </si>
  <si>
    <t>points N</t>
  </si>
  <si>
    <t>Points B</t>
  </si>
  <si>
    <t>Equipes</t>
  </si>
  <si>
    <t>rep</t>
  </si>
  <si>
    <t>d</t>
  </si>
  <si>
    <t>Nb de buts marqués</t>
  </si>
  <si>
    <t>Nb de but encaissés</t>
  </si>
  <si>
    <t>Données</t>
  </si>
  <si>
    <t>Somme de Nb de but encaissés</t>
  </si>
  <si>
    <t>Somme de Nb de buts marqués</t>
  </si>
  <si>
    <t>Total général</t>
  </si>
  <si>
    <t>Tableau de calcul des buts encaissés dans poules A B C et D</t>
  </si>
  <si>
    <t xml:space="preserve">Tableau de calcul des buts encaissés dans poule X </t>
  </si>
  <si>
    <t xml:space="preserve">Tableau de calcul des buts encaissés dans poule Y </t>
  </si>
  <si>
    <t>Tableau de calcul des buts encaissés dans poule E</t>
  </si>
  <si>
    <t>Tableau de calcul des buts encaissés dans poule F</t>
  </si>
  <si>
    <t>Tableau de calcul des buts encaissés dans poule G</t>
  </si>
  <si>
    <t>attention d'ajouter le nb de buts du match reporté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</si>
  <si>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</si>
  <si>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</si>
  <si>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</si>
  <si>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</si>
  <si>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</si>
  <si>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</si>
  <si>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</si>
  <si>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</si>
  <si>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</si>
  <si>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</si>
  <si>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</si>
  <si>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</si>
  <si>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</si>
  <si>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</si>
  <si>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</si>
  <si>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</si>
  <si>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</si>
  <si>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</si>
  <si>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</si>
  <si>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</si>
  <si>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</si>
  <si>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</si>
  <si>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Candidat Arbitre</t>
  </si>
  <si>
    <t>FAIR PLAY</t>
  </si>
  <si>
    <t>(vide)</t>
  </si>
  <si>
    <t>MATCH F1*</t>
  </si>
  <si>
    <t>MATCH F2*</t>
  </si>
  <si>
    <t>MATCH 51*</t>
  </si>
  <si>
    <t>MATCH 52*</t>
  </si>
  <si>
    <t>MATCH 92*</t>
  </si>
  <si>
    <t>MATCH 91*</t>
  </si>
  <si>
    <t>*  pour les machs F1, F2, 51, 52, 91 et 92 lorsque les équipes se sont déjà rencontrées il y a inversion.</t>
  </si>
  <si>
    <t>en jeunes et juniors</t>
  </si>
  <si>
    <t>1er</t>
  </si>
  <si>
    <t>3ème</t>
  </si>
  <si>
    <t>2éme</t>
  </si>
  <si>
    <t>4ème</t>
  </si>
  <si>
    <t>8ème</t>
  </si>
  <si>
    <t>7ème</t>
  </si>
  <si>
    <t>6ème</t>
  </si>
  <si>
    <t>5ème</t>
  </si>
  <si>
    <t>11ème</t>
  </si>
  <si>
    <t>12ème</t>
  </si>
  <si>
    <t>9ème</t>
  </si>
  <si>
    <t>10ème</t>
  </si>
  <si>
    <t>répartition suivant le classement année N-1</t>
  </si>
  <si>
    <t>2016 - 2017</t>
  </si>
  <si>
    <t>BENJAMINS</t>
  </si>
  <si>
    <t>6 et 7 mai 2017</t>
  </si>
  <si>
    <t xml:space="preserve">LAGNY </t>
  </si>
  <si>
    <t>NEUILLY</t>
  </si>
  <si>
    <t>MOIRANS</t>
  </si>
  <si>
    <t>LAGNY 2</t>
  </si>
  <si>
    <t>FONTENAY</t>
  </si>
  <si>
    <t>LA GUERCHE</t>
  </si>
  <si>
    <t>COMBOURG/QUIMPERLE</t>
  </si>
  <si>
    <t>PONTOISE</t>
  </si>
  <si>
    <t>LE CHESNAY/CLAMART</t>
  </si>
  <si>
    <t>PESSAC</t>
  </si>
  <si>
    <t>LAGNY</t>
  </si>
  <si>
    <t>LILLE</t>
  </si>
  <si>
    <t>LAGNY3/HYERES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</si>
</sst>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&quot;;[Red]\-#,##0\ &quot;F&quot;"/>
  </numFmts>
  <fonts count="34" x14ac:knownFonts="1">
    <font>
      <sz val="10"/>
      <name val="Arial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12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u/>
      <sz val="12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b/>
      <i/>
      <sz val="12"/>
      <color indexed="18"/>
      <name val="Arial"/>
      <family val="2"/>
    </font>
    <font>
      <b/>
      <sz val="11"/>
      <name val="Arial"/>
      <family val="2"/>
    </font>
    <font>
      <sz val="12"/>
      <color indexed="8"/>
      <name val="Times New Roman"/>
      <family val="1"/>
    </font>
    <font>
      <sz val="8"/>
      <name val="Arial"/>
      <family val="2"/>
    </font>
    <font>
      <i/>
      <sz val="10"/>
      <name val="Arial"/>
      <family val="2"/>
    </font>
    <font>
      <sz val="8"/>
      <color indexed="18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sz val="10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darkGray"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lightGray">
        <fgColor rgb="FFFF000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</borders>
  <cellStyleXfs count="6">
    <xf numFmtId="0" fontId="0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/>
    <xf numFmtId="0" fontId="4" fillId="0" borderId="0"/>
    <xf numFmtId="0" fontId="10" fillId="0" borderId="0"/>
  </cellStyleXfs>
  <cellXfs count="273">
    <xf numFmtId="0" fontId="0" fillId="0" borderId="0" xfId="0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1" borderId="6" xfId="0" applyFont="1" applyFill="1" applyBorder="1" applyAlignment="1">
      <alignment horizontal="center" vertical="center"/>
    </xf>
    <xf numFmtId="0" fontId="1" fillId="1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Protection="1"/>
    <xf numFmtId="0" fontId="9" fillId="0" borderId="0" xfId="0" applyFont="1" applyAlignment="1" applyProtection="1">
      <alignment horizontal="center"/>
    </xf>
    <xf numFmtId="0" fontId="8" fillId="4" borderId="7" xfId="0" applyFont="1" applyFill="1" applyBorder="1" applyProtection="1"/>
    <xf numFmtId="0" fontId="8" fillId="4" borderId="8" xfId="0" applyFont="1" applyFill="1" applyBorder="1" applyProtection="1"/>
    <xf numFmtId="0" fontId="8" fillId="4" borderId="9" xfId="0" applyFont="1" applyFill="1" applyBorder="1" applyProtection="1"/>
    <xf numFmtId="0" fontId="7" fillId="4" borderId="10" xfId="0" applyFont="1" applyFill="1" applyBorder="1" applyAlignment="1" applyProtection="1">
      <alignment horizontal="center"/>
    </xf>
    <xf numFmtId="0" fontId="8" fillId="0" borderId="0" xfId="0" applyFont="1" applyBorder="1" applyProtection="1"/>
    <xf numFmtId="0" fontId="7" fillId="4" borderId="11" xfId="0" applyFont="1" applyFill="1" applyBorder="1" applyAlignment="1" applyProtection="1">
      <alignment horizontal="center"/>
    </xf>
    <xf numFmtId="0" fontId="8" fillId="4" borderId="12" xfId="0" applyFont="1" applyFill="1" applyBorder="1" applyProtection="1"/>
    <xf numFmtId="0" fontId="8" fillId="4" borderId="13" xfId="0" applyFont="1" applyFill="1" applyBorder="1" applyProtection="1"/>
    <xf numFmtId="0" fontId="8" fillId="4" borderId="14" xfId="0" applyFont="1" applyFill="1" applyBorder="1" applyProtection="1"/>
    <xf numFmtId="0" fontId="7" fillId="4" borderId="8" xfId="0" applyFont="1" applyFill="1" applyBorder="1" applyAlignment="1" applyProtection="1">
      <alignment horizontal="center"/>
    </xf>
    <xf numFmtId="0" fontId="7" fillId="4" borderId="9" xfId="0" applyFont="1" applyFill="1" applyBorder="1" applyAlignment="1" applyProtection="1">
      <alignment horizontal="center"/>
    </xf>
    <xf numFmtId="0" fontId="7" fillId="4" borderId="14" xfId="0" applyFont="1" applyFill="1" applyBorder="1" applyAlignment="1" applyProtection="1">
      <alignment horizontal="center"/>
    </xf>
    <xf numFmtId="0" fontId="7" fillId="4" borderId="15" xfId="0" applyFont="1" applyFill="1" applyBorder="1" applyAlignment="1" applyProtection="1">
      <alignment horizontal="center"/>
    </xf>
    <xf numFmtId="0" fontId="8" fillId="4" borderId="11" xfId="0" applyFont="1" applyFill="1" applyBorder="1" applyProtection="1"/>
    <xf numFmtId="0" fontId="8" fillId="4" borderId="16" xfId="0" applyFont="1" applyFill="1" applyBorder="1" applyProtection="1"/>
    <xf numFmtId="0" fontId="8" fillId="4" borderId="17" xfId="0" applyFont="1" applyFill="1" applyBorder="1" applyProtection="1"/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20" fontId="3" fillId="0" borderId="6" xfId="0" applyNumberFormat="1" applyFont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4" borderId="14" xfId="0" applyFont="1" applyFill="1" applyBorder="1" applyAlignment="1" applyProtection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center"/>
    </xf>
    <xf numFmtId="20" fontId="14" fillId="0" borderId="6" xfId="0" applyNumberFormat="1" applyFont="1" applyBorder="1" applyAlignment="1" applyProtection="1">
      <alignment horizontal="center" vertical="center"/>
      <protection locked="0"/>
    </xf>
    <xf numFmtId="20" fontId="15" fillId="0" borderId="20" xfId="0" applyNumberFormat="1" applyFont="1" applyBorder="1" applyAlignment="1" applyProtection="1">
      <alignment horizontal="center" vertical="center"/>
      <protection locked="0"/>
    </xf>
    <xf numFmtId="20" fontId="3" fillId="0" borderId="6" xfId="0" applyNumberFormat="1" applyFont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/>
    </xf>
    <xf numFmtId="0" fontId="8" fillId="4" borderId="21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indent="1"/>
    </xf>
    <xf numFmtId="0" fontId="1" fillId="0" borderId="0" xfId="0" applyFont="1" applyProtection="1"/>
    <xf numFmtId="0" fontId="13" fillId="0" borderId="0" xfId="0" applyFont="1" applyAlignment="1">
      <alignment horizontal="center" vertical="center" wrapText="1"/>
    </xf>
    <xf numFmtId="0" fontId="17" fillId="4" borderId="22" xfId="3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8" fillId="4" borderId="23" xfId="3" applyFont="1" applyFill="1" applyBorder="1" applyAlignment="1">
      <alignment horizontal="center" vertical="center"/>
    </xf>
    <xf numFmtId="0" fontId="18" fillId="4" borderId="9" xfId="3" applyFont="1" applyFill="1" applyBorder="1" applyAlignment="1">
      <alignment horizontal="center" vertical="center"/>
    </xf>
    <xf numFmtId="0" fontId="18" fillId="4" borderId="24" xfId="3" applyFont="1" applyFill="1" applyBorder="1" applyAlignment="1">
      <alignment horizontal="center" vertical="center"/>
    </xf>
    <xf numFmtId="0" fontId="19" fillId="4" borderId="6" xfId="3" applyFont="1" applyFill="1" applyBorder="1" applyAlignment="1">
      <alignment horizontal="center" vertical="center"/>
    </xf>
    <xf numFmtId="0" fontId="17" fillId="5" borderId="22" xfId="3" applyFont="1" applyFill="1" applyBorder="1" applyAlignment="1">
      <alignment horizontal="center" vertical="center"/>
    </xf>
    <xf numFmtId="0" fontId="18" fillId="5" borderId="23" xfId="3" applyFont="1" applyFill="1" applyBorder="1" applyAlignment="1">
      <alignment horizontal="center" vertical="center"/>
    </xf>
    <xf numFmtId="0" fontId="18" fillId="5" borderId="9" xfId="3" applyFont="1" applyFill="1" applyBorder="1" applyAlignment="1">
      <alignment horizontal="center" vertical="center"/>
    </xf>
    <xf numFmtId="0" fontId="18" fillId="5" borderId="25" xfId="3" applyFont="1" applyFill="1" applyBorder="1" applyAlignment="1">
      <alignment horizontal="center" vertical="center"/>
    </xf>
    <xf numFmtId="0" fontId="18" fillId="5" borderId="24" xfId="3" applyFont="1" applyFill="1" applyBorder="1" applyAlignment="1">
      <alignment horizontal="center" vertical="center"/>
    </xf>
    <xf numFmtId="0" fontId="17" fillId="6" borderId="22" xfId="3" applyFont="1" applyFill="1" applyBorder="1" applyAlignment="1">
      <alignment horizontal="center" vertical="center"/>
    </xf>
    <xf numFmtId="0" fontId="19" fillId="5" borderId="6" xfId="3" applyFont="1" applyFill="1" applyBorder="1" applyAlignment="1">
      <alignment horizontal="center" vertical="center"/>
    </xf>
    <xf numFmtId="0" fontId="18" fillId="6" borderId="23" xfId="3" applyFont="1" applyFill="1" applyBorder="1" applyAlignment="1">
      <alignment horizontal="center" vertical="center"/>
    </xf>
    <xf numFmtId="0" fontId="18" fillId="6" borderId="25" xfId="3" applyFont="1" applyFill="1" applyBorder="1" applyAlignment="1">
      <alignment horizontal="center" vertical="center"/>
    </xf>
    <xf numFmtId="0" fontId="18" fillId="6" borderId="24" xfId="3" applyFont="1" applyFill="1" applyBorder="1" applyAlignment="1">
      <alignment horizontal="center" vertical="center"/>
    </xf>
    <xf numFmtId="0" fontId="19" fillId="6" borderId="6" xfId="3" applyFont="1" applyFill="1" applyBorder="1" applyAlignment="1">
      <alignment horizontal="center" vertical="center"/>
    </xf>
    <xf numFmtId="0" fontId="17" fillId="7" borderId="22" xfId="3" applyFont="1" applyFill="1" applyBorder="1" applyAlignment="1">
      <alignment horizontal="center" vertical="center"/>
    </xf>
    <xf numFmtId="0" fontId="18" fillId="7" borderId="23" xfId="3" applyFont="1" applyFill="1" applyBorder="1" applyAlignment="1">
      <alignment horizontal="center" vertical="center"/>
    </xf>
    <xf numFmtId="164" fontId="18" fillId="7" borderId="24" xfId="3" applyNumberFormat="1" applyFont="1" applyFill="1" applyBorder="1" applyAlignment="1">
      <alignment horizontal="center" vertical="center"/>
    </xf>
    <xf numFmtId="0" fontId="19" fillId="7" borderId="6" xfId="3" applyFont="1" applyFill="1" applyBorder="1" applyAlignment="1">
      <alignment horizontal="center" vertical="center"/>
    </xf>
    <xf numFmtId="0" fontId="18" fillId="7" borderId="24" xfId="3" applyFont="1" applyFill="1" applyBorder="1" applyAlignment="1">
      <alignment horizontal="center" vertical="center"/>
    </xf>
    <xf numFmtId="0" fontId="17" fillId="8" borderId="26" xfId="3" applyFont="1" applyFill="1" applyBorder="1" applyAlignment="1">
      <alignment horizontal="center" vertical="center"/>
    </xf>
    <xf numFmtId="0" fontId="17" fillId="8" borderId="27" xfId="3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</xf>
    <xf numFmtId="0" fontId="7" fillId="0" borderId="6" xfId="0" applyFont="1" applyBorder="1" applyAlignment="1" applyProtection="1">
      <alignment horizontal="center"/>
      <protection locked="0"/>
    </xf>
    <xf numFmtId="0" fontId="4" fillId="0" borderId="0" xfId="4" applyAlignment="1">
      <alignment horizontal="left" wrapText="1"/>
    </xf>
    <xf numFmtId="0" fontId="4" fillId="0" borderId="0" xfId="4" applyAlignment="1">
      <alignment wrapText="1"/>
    </xf>
    <xf numFmtId="0" fontId="4" fillId="0" borderId="0" xfId="4"/>
    <xf numFmtId="0" fontId="1" fillId="0" borderId="9" xfId="4" applyFont="1" applyBorder="1" applyAlignment="1">
      <alignment horizontal="left" wrapText="1"/>
    </xf>
    <xf numFmtId="0" fontId="1" fillId="0" borderId="9" xfId="4" applyFont="1" applyBorder="1" applyAlignment="1">
      <alignment wrapText="1"/>
    </xf>
    <xf numFmtId="0" fontId="1" fillId="0" borderId="0" xfId="4" applyFont="1" applyAlignment="1">
      <alignment horizontal="left" wrapText="1"/>
    </xf>
    <xf numFmtId="0" fontId="1" fillId="0" borderId="0" xfId="4" applyFont="1" applyAlignment="1">
      <alignment wrapText="1"/>
    </xf>
    <xf numFmtId="0" fontId="1" fillId="0" borderId="0" xfId="4" applyFont="1" applyAlignment="1">
      <alignment horizontal="left"/>
    </xf>
    <xf numFmtId="0" fontId="1" fillId="0" borderId="0" xfId="4" applyFont="1"/>
    <xf numFmtId="0" fontId="4" fillId="0" borderId="0" xfId="4" applyAlignment="1">
      <alignment horizontal="left"/>
    </xf>
    <xf numFmtId="0" fontId="1" fillId="0" borderId="9" xfId="4" applyFont="1" applyBorder="1" applyAlignment="1" applyProtection="1">
      <alignment wrapText="1"/>
      <protection locked="0"/>
    </xf>
    <xf numFmtId="20" fontId="1" fillId="0" borderId="9" xfId="4" applyNumberFormat="1" applyFont="1" applyBorder="1" applyAlignment="1" applyProtection="1">
      <alignment wrapText="1"/>
      <protection locked="0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0" xfId="4" applyFont="1" applyProtection="1"/>
    <xf numFmtId="0" fontId="1" fillId="0" borderId="0" xfId="4" applyFont="1" applyAlignment="1" applyProtection="1">
      <alignment horizontal="center"/>
    </xf>
    <xf numFmtId="0" fontId="4" fillId="0" borderId="0" xfId="4" applyProtection="1"/>
    <xf numFmtId="0" fontId="7" fillId="0" borderId="0" xfId="4" applyFont="1" applyAlignment="1" applyProtection="1">
      <alignment vertical="center"/>
    </xf>
    <xf numFmtId="0" fontId="1" fillId="0" borderId="0" xfId="4" applyFont="1" applyAlignment="1" applyProtection="1">
      <alignment horizontal="center" vertical="center"/>
    </xf>
    <xf numFmtId="0" fontId="1" fillId="0" borderId="0" xfId="4" applyFont="1" applyAlignment="1" applyProtection="1">
      <alignment vertical="center"/>
    </xf>
    <xf numFmtId="0" fontId="5" fillId="0" borderId="15" xfId="4" applyFont="1" applyBorder="1" applyAlignment="1" applyProtection="1">
      <alignment vertical="center"/>
    </xf>
    <xf numFmtId="0" fontId="5" fillId="0" borderId="28" xfId="4" applyFont="1" applyBorder="1" applyAlignment="1" applyProtection="1">
      <alignment vertical="center"/>
    </xf>
    <xf numFmtId="0" fontId="5" fillId="0" borderId="0" xfId="4" applyFont="1" applyBorder="1" applyAlignment="1" applyProtection="1">
      <alignment horizontal="center" vertical="center"/>
    </xf>
    <xf numFmtId="0" fontId="4" fillId="0" borderId="28" xfId="4" applyBorder="1" applyAlignment="1" applyProtection="1"/>
    <xf numFmtId="0" fontId="7" fillId="0" borderId="0" xfId="4" applyFont="1" applyProtection="1">
      <protection locked="0"/>
    </xf>
    <xf numFmtId="0" fontId="1" fillId="0" borderId="0" xfId="4" applyFont="1" applyAlignment="1" applyProtection="1">
      <alignment horizontal="center"/>
      <protection locked="0"/>
    </xf>
    <xf numFmtId="0" fontId="7" fillId="0" borderId="0" xfId="4" applyFont="1"/>
    <xf numFmtId="0" fontId="1" fillId="0" borderId="0" xfId="4" applyFont="1" applyAlignment="1">
      <alignment horizontal="center"/>
    </xf>
    <xf numFmtId="0" fontId="7" fillId="0" borderId="0" xfId="0" applyFont="1" applyBorder="1" applyAlignment="1" applyProtection="1">
      <alignment horizontal="center" vertical="center"/>
      <protection locked="0"/>
    </xf>
    <xf numFmtId="20" fontId="14" fillId="0" borderId="0" xfId="0" applyNumberFormat="1" applyFont="1" applyBorder="1" applyAlignment="1" applyProtection="1">
      <alignment horizontal="center" vertical="center"/>
      <protection locked="0"/>
    </xf>
    <xf numFmtId="20" fontId="3" fillId="0" borderId="0" xfId="0" applyNumberFormat="1" applyFont="1" applyBorder="1" applyAlignment="1" applyProtection="1">
      <alignment horizontal="center" vertical="center"/>
    </xf>
    <xf numFmtId="0" fontId="1" fillId="9" borderId="29" xfId="4" applyFont="1" applyFill="1" applyBorder="1" applyAlignment="1">
      <alignment horizontal="center" vertical="center"/>
    </xf>
    <xf numFmtId="0" fontId="1" fillId="9" borderId="30" xfId="4" applyFont="1" applyFill="1" applyBorder="1" applyAlignment="1">
      <alignment horizontal="center" vertical="center"/>
    </xf>
    <xf numFmtId="0" fontId="8" fillId="10" borderId="8" xfId="0" applyFont="1" applyFill="1" applyBorder="1" applyAlignment="1" applyProtection="1">
      <alignment horizontal="center"/>
    </xf>
    <xf numFmtId="49" fontId="4" fillId="0" borderId="9" xfId="4" applyNumberFormat="1" applyFont="1" applyFill="1" applyBorder="1" applyAlignment="1">
      <alignment horizontal="center"/>
    </xf>
    <xf numFmtId="0" fontId="4" fillId="0" borderId="9" xfId="4" applyFont="1" applyBorder="1" applyAlignment="1">
      <alignment horizontal="center"/>
    </xf>
    <xf numFmtId="0" fontId="4" fillId="0" borderId="0" xfId="4" applyFont="1"/>
    <xf numFmtId="0" fontId="4" fillId="0" borderId="0" xfId="4" applyAlignment="1">
      <alignment horizontal="center"/>
    </xf>
    <xf numFmtId="0" fontId="4" fillId="0" borderId="0" xfId="4" applyFont="1" applyAlignment="1">
      <alignment horizontal="center"/>
    </xf>
    <xf numFmtId="0" fontId="4" fillId="5" borderId="9" xfId="4" applyFont="1" applyFill="1" applyBorder="1"/>
    <xf numFmtId="0" fontId="10" fillId="5" borderId="9" xfId="4" applyFont="1" applyFill="1" applyBorder="1" applyAlignment="1">
      <alignment vertical="center" wrapText="1"/>
    </xf>
    <xf numFmtId="0" fontId="4" fillId="0" borderId="9" xfId="4" applyBorder="1" applyAlignment="1">
      <alignment horizontal="center"/>
    </xf>
    <xf numFmtId="0" fontId="4" fillId="11" borderId="9" xfId="4" applyFont="1" applyFill="1" applyBorder="1"/>
    <xf numFmtId="0" fontId="10" fillId="11" borderId="9" xfId="4" applyFont="1" applyFill="1" applyBorder="1" applyAlignment="1">
      <alignment vertical="center" wrapText="1"/>
    </xf>
    <xf numFmtId="0" fontId="4" fillId="12" borderId="9" xfId="4" applyFont="1" applyFill="1" applyBorder="1"/>
    <xf numFmtId="0" fontId="10" fillId="12" borderId="9" xfId="4" applyFont="1" applyFill="1" applyBorder="1" applyAlignment="1">
      <alignment vertical="center" wrapText="1"/>
    </xf>
    <xf numFmtId="0" fontId="27" fillId="0" borderId="0" xfId="4" applyFont="1"/>
    <xf numFmtId="0" fontId="23" fillId="0" borderId="0" xfId="0" applyFont="1" applyAlignment="1">
      <alignment vertical="center"/>
    </xf>
    <xf numFmtId="0" fontId="24" fillId="1" borderId="6" xfId="0" applyFont="1" applyFill="1" applyBorder="1" applyAlignment="1">
      <alignment horizontal="center" vertical="center"/>
    </xf>
    <xf numFmtId="0" fontId="24" fillId="1" borderId="3" xfId="0" applyFont="1" applyFill="1" applyBorder="1" applyAlignment="1">
      <alignment horizontal="center" vertical="center"/>
    </xf>
    <xf numFmtId="0" fontId="15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19" xfId="0" applyFont="1" applyFill="1" applyBorder="1" applyAlignment="1" applyProtection="1">
      <alignment horizontal="center" vertical="center"/>
      <protection locked="0"/>
    </xf>
    <xf numFmtId="0" fontId="14" fillId="13" borderId="19" xfId="0" applyFont="1" applyFill="1" applyBorder="1" applyAlignment="1" applyProtection="1">
      <alignment horizontal="center" vertical="center"/>
      <protection locked="0"/>
    </xf>
    <xf numFmtId="0" fontId="14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9" xfId="4" applyFont="1" applyBorder="1" applyAlignment="1" applyProtection="1">
      <alignment vertical="center"/>
    </xf>
    <xf numFmtId="0" fontId="3" fillId="14" borderId="9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26" fillId="0" borderId="9" xfId="0" applyFont="1" applyBorder="1" applyAlignment="1">
      <alignment vertical="center"/>
    </xf>
    <xf numFmtId="0" fontId="7" fillId="0" borderId="3" xfId="0" applyFont="1" applyBorder="1" applyAlignment="1" applyProtection="1">
      <alignment horizontal="center"/>
      <protection locked="0"/>
    </xf>
    <xf numFmtId="0" fontId="4" fillId="0" borderId="9" xfId="4" applyBorder="1" applyProtection="1">
      <protection locked="0"/>
    </xf>
    <xf numFmtId="0" fontId="22" fillId="0" borderId="6" xfId="5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vertical="center"/>
    </xf>
    <xf numFmtId="0" fontId="8" fillId="4" borderId="7" xfId="0" applyFont="1" applyFill="1" applyBorder="1" applyAlignment="1" applyProtection="1">
      <alignment vertical="center"/>
    </xf>
    <xf numFmtId="0" fontId="8" fillId="4" borderId="8" xfId="0" applyFont="1" applyFill="1" applyBorder="1" applyAlignment="1" applyProtection="1">
      <alignment horizontal="center" vertical="center"/>
    </xf>
    <xf numFmtId="0" fontId="8" fillId="10" borderId="8" xfId="0" applyFont="1" applyFill="1" applyBorder="1" applyAlignment="1" applyProtection="1">
      <alignment horizontal="center" vertical="center"/>
    </xf>
    <xf numFmtId="0" fontId="8" fillId="4" borderId="9" xfId="0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8" fillId="4" borderId="12" xfId="0" applyFont="1" applyFill="1" applyBorder="1" applyAlignment="1" applyProtection="1">
      <alignment vertical="center"/>
    </xf>
    <xf numFmtId="0" fontId="8" fillId="4" borderId="13" xfId="0" applyFont="1" applyFill="1" applyBorder="1" applyAlignment="1" applyProtection="1">
      <alignment vertical="center"/>
    </xf>
    <xf numFmtId="0" fontId="7" fillId="4" borderId="16" xfId="0" applyFont="1" applyFill="1" applyBorder="1" applyAlignment="1" applyProtection="1">
      <alignment horizontal="center" vertical="center"/>
    </xf>
    <xf numFmtId="0" fontId="11" fillId="0" borderId="0" xfId="5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4" borderId="9" xfId="0" applyFont="1" applyFill="1" applyBorder="1" applyProtection="1"/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1" xfId="0" applyNumberFormat="1" applyBorder="1"/>
    <xf numFmtId="0" fontId="0" fillId="0" borderId="33" xfId="0" applyNumberFormat="1" applyBorder="1"/>
    <xf numFmtId="0" fontId="0" fillId="0" borderId="34" xfId="0" applyBorder="1"/>
    <xf numFmtId="0" fontId="0" fillId="0" borderId="34" xfId="0" applyNumberFormat="1" applyBorder="1"/>
    <xf numFmtId="0" fontId="0" fillId="0" borderId="35" xfId="0" applyNumberFormat="1" applyBorder="1"/>
    <xf numFmtId="0" fontId="0" fillId="0" borderId="36" xfId="0" applyBorder="1"/>
    <xf numFmtId="0" fontId="0" fillId="0" borderId="36" xfId="0" applyNumberFormat="1" applyBorder="1"/>
    <xf numFmtId="0" fontId="0" fillId="0" borderId="37" xfId="0" applyNumberFormat="1" applyBorder="1"/>
    <xf numFmtId="0" fontId="0" fillId="0" borderId="0" xfId="0" applyAlignment="1">
      <alignment horizontal="center" vertical="center"/>
    </xf>
    <xf numFmtId="0" fontId="0" fillId="0" borderId="31" xfId="0" pivotButton="1" applyBorder="1"/>
    <xf numFmtId="0" fontId="29" fillId="0" borderId="0" xfId="0" applyFont="1" applyAlignment="1" applyProtection="1">
      <alignment horizontal="center" vertical="center"/>
    </xf>
    <xf numFmtId="0" fontId="7" fillId="4" borderId="13" xfId="0" applyFont="1" applyFill="1" applyBorder="1" applyProtection="1"/>
    <xf numFmtId="0" fontId="3" fillId="0" borderId="6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3" fillId="0" borderId="6" xfId="0" quotePrefix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>
      <alignment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0" fillId="13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 applyProtection="1">
      <alignment horizontal="center" vertical="center"/>
      <protection locked="0"/>
    </xf>
    <xf numFmtId="0" fontId="14" fillId="13" borderId="4" xfId="0" applyFont="1" applyFill="1" applyBorder="1" applyAlignment="1" applyProtection="1">
      <alignment horizontal="center" vertical="center"/>
      <protection locked="0"/>
    </xf>
    <xf numFmtId="0" fontId="14" fillId="13" borderId="6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0" fontId="14" fillId="13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Alignment="1" applyProtection="1">
      <alignment horizontal="center" vertical="center"/>
      <protection locked="0"/>
    </xf>
    <xf numFmtId="0" fontId="14" fillId="13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Fill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7" fillId="15" borderId="38" xfId="0" applyFont="1" applyFill="1" applyBorder="1" applyAlignment="1" applyProtection="1">
      <alignment vertical="center"/>
    </xf>
    <xf numFmtId="0" fontId="7" fillId="15" borderId="39" xfId="0" applyFont="1" applyFill="1" applyBorder="1" applyAlignment="1" applyProtection="1">
      <alignment vertical="center"/>
    </xf>
    <xf numFmtId="1" fontId="3" fillId="0" borderId="6" xfId="0" applyNumberFormat="1" applyFont="1" applyFill="1" applyBorder="1" applyAlignment="1">
      <alignment horizontal="center" vertical="center"/>
    </xf>
    <xf numFmtId="0" fontId="7" fillId="16" borderId="0" xfId="4" applyFont="1" applyFill="1"/>
    <xf numFmtId="0" fontId="1" fillId="9" borderId="40" xfId="4" applyFont="1" applyFill="1" applyBorder="1" applyAlignment="1" applyProtection="1">
      <alignment vertical="center"/>
    </xf>
    <xf numFmtId="0" fontId="0" fillId="17" borderId="0" xfId="0" applyFill="1"/>
    <xf numFmtId="0" fontId="0" fillId="18" borderId="0" xfId="0" applyFill="1"/>
    <xf numFmtId="0" fontId="4" fillId="18" borderId="0" xfId="0" applyFont="1" applyFill="1"/>
    <xf numFmtId="0" fontId="4" fillId="18" borderId="0" xfId="0" applyFont="1" applyFill="1" applyAlignment="1">
      <alignment wrapText="1"/>
    </xf>
    <xf numFmtId="0" fontId="4" fillId="18" borderId="0" xfId="0" applyFont="1" applyFill="1" applyAlignment="1">
      <alignment horizontal="center" wrapText="1"/>
    </xf>
    <xf numFmtId="0" fontId="0" fillId="18" borderId="0" xfId="0" applyFill="1" applyAlignment="1">
      <alignment horizontal="center"/>
    </xf>
    <xf numFmtId="0" fontId="0" fillId="19" borderId="0" xfId="0" applyFill="1"/>
    <xf numFmtId="0" fontId="0" fillId="19" borderId="0" xfId="0" applyFill="1" applyAlignment="1">
      <alignment horizontal="center"/>
    </xf>
    <xf numFmtId="0" fontId="0" fillId="20" borderId="0" xfId="0" applyFill="1"/>
    <xf numFmtId="0" fontId="0" fillId="20" borderId="0" xfId="0" applyFill="1" applyAlignment="1">
      <alignment horizontal="center"/>
    </xf>
    <xf numFmtId="0" fontId="4" fillId="17" borderId="0" xfId="4" applyFill="1"/>
    <xf numFmtId="0" fontId="32" fillId="0" borderId="6" xfId="5" applyFont="1" applyFill="1" applyBorder="1" applyAlignment="1" applyProtection="1">
      <alignment horizontal="left" vertical="center" wrapText="1"/>
      <protection locked="0"/>
    </xf>
    <xf numFmtId="0" fontId="1" fillId="0" borderId="0" xfId="4" applyFont="1" applyAlignment="1">
      <alignment horizontal="center" wrapText="1"/>
    </xf>
    <xf numFmtId="0" fontId="18" fillId="0" borderId="0" xfId="3" applyFont="1" applyAlignment="1">
      <alignment horizontal="left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24" fillId="1" borderId="3" xfId="0" applyFont="1" applyFill="1" applyBorder="1" applyAlignment="1">
      <alignment horizontal="center" vertical="center"/>
    </xf>
    <xf numFmtId="0" fontId="1" fillId="1" borderId="4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41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" fillId="15" borderId="44" xfId="0" applyFont="1" applyFill="1" applyBorder="1" applyAlignment="1" applyProtection="1">
      <alignment horizontal="center" vertical="center" wrapText="1"/>
    </xf>
    <xf numFmtId="0" fontId="1" fillId="15" borderId="45" xfId="0" applyFont="1" applyFill="1" applyBorder="1" applyAlignment="1" applyProtection="1">
      <alignment horizontal="center" vertical="center" wrapText="1"/>
    </xf>
    <xf numFmtId="0" fontId="1" fillId="15" borderId="46" xfId="0" applyFont="1" applyFill="1" applyBorder="1" applyAlignment="1" applyProtection="1">
      <alignment horizontal="center" vertical="center" wrapText="1"/>
    </xf>
    <xf numFmtId="0" fontId="1" fillId="15" borderId="47" xfId="0" applyFont="1" applyFill="1" applyBorder="1" applyAlignment="1" applyProtection="1">
      <alignment horizontal="center" vertical="center" wrapText="1"/>
    </xf>
    <xf numFmtId="0" fontId="1" fillId="15" borderId="48" xfId="0" applyFont="1" applyFill="1" applyBorder="1" applyAlignment="1" applyProtection="1">
      <alignment horizontal="center" vertical="center" wrapText="1"/>
    </xf>
    <xf numFmtId="0" fontId="1" fillId="15" borderId="49" xfId="0" applyFont="1" applyFill="1" applyBorder="1" applyAlignment="1" applyProtection="1">
      <alignment horizontal="center" vertical="center" wrapText="1"/>
    </xf>
    <xf numFmtId="0" fontId="14" fillId="0" borderId="50" xfId="0" applyFont="1" applyBorder="1" applyAlignment="1" applyProtection="1">
      <alignment horizontal="center" vertical="center" wrapText="1"/>
    </xf>
    <xf numFmtId="0" fontId="14" fillId="0" borderId="51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7" fillId="15" borderId="39" xfId="0" applyFont="1" applyFill="1" applyBorder="1" applyAlignment="1" applyProtection="1">
      <alignment horizontal="center" vertical="center"/>
    </xf>
    <xf numFmtId="0" fontId="7" fillId="0" borderId="39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51" xfId="0" applyFont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/>
    </xf>
    <xf numFmtId="0" fontId="8" fillId="4" borderId="52" xfId="0" applyFont="1" applyFill="1" applyBorder="1" applyAlignment="1" applyProtection="1">
      <alignment horizontal="center"/>
    </xf>
    <xf numFmtId="0" fontId="8" fillId="4" borderId="53" xfId="0" applyFont="1" applyFill="1" applyBorder="1" applyAlignment="1" applyProtection="1">
      <alignment horizontal="center"/>
    </xf>
    <xf numFmtId="0" fontId="8" fillId="4" borderId="16" xfId="0" applyFont="1" applyFill="1" applyBorder="1" applyAlignment="1" applyProtection="1">
      <alignment horizontal="center"/>
    </xf>
    <xf numFmtId="0" fontId="8" fillId="4" borderId="54" xfId="0" applyFont="1" applyFill="1" applyBorder="1" applyAlignment="1" applyProtection="1">
      <alignment horizontal="center"/>
    </xf>
    <xf numFmtId="0" fontId="8" fillId="4" borderId="55" xfId="0" applyFont="1" applyFill="1" applyBorder="1" applyAlignment="1" applyProtection="1">
      <alignment horizontal="center"/>
    </xf>
    <xf numFmtId="0" fontId="5" fillId="0" borderId="15" xfId="4" applyFont="1" applyBorder="1" applyAlignment="1" applyProtection="1">
      <alignment horizontal="center" vertical="center"/>
    </xf>
    <xf numFmtId="0" fontId="5" fillId="0" borderId="28" xfId="4" applyFont="1" applyBorder="1" applyAlignment="1" applyProtection="1">
      <alignment horizontal="center" vertical="center"/>
    </xf>
    <xf numFmtId="0" fontId="4" fillId="0" borderId="56" xfId="0" applyFont="1" applyBorder="1" applyAlignment="1">
      <alignment horizontal="center"/>
    </xf>
    <xf numFmtId="0" fontId="0" fillId="0" borderId="56" xfId="0" applyBorder="1" applyAlignment="1">
      <alignment horizontal="center"/>
    </xf>
  </cellXfs>
  <cellStyles count="6">
    <cellStyle name="Euro" xfId="1"/>
    <cellStyle name="Euro 2" xfId="2"/>
    <cellStyle name="Normal" xfId="0" builtinId="0"/>
    <cellStyle name="Normal 2" xfId="3"/>
    <cellStyle name="Normal 2 2" xfId="4"/>
    <cellStyle name="Normal_Terrain 1" xfId="5"/>
  </cellStyles>
  <dxfs count="10">
    <dxf>
      <font>
        <color theme="2"/>
      </font>
    </dxf>
    <dxf>
      <font>
        <color theme="3" tint="0.79998168889431442"/>
        <name val="Cambria"/>
        <scheme val="none"/>
      </font>
    </dxf>
    <dxf>
      <font>
        <color theme="3" tint="0.79998168889431442"/>
        <name val="Cambria"/>
        <scheme val="none"/>
      </font>
    </dxf>
    <dxf>
      <font>
        <color theme="3" tint="0.79998168889431442"/>
        <name val="Cambria"/>
        <scheme val="none"/>
      </font>
    </dxf>
    <dxf>
      <font>
        <color theme="3" tint="0.79998168889431442"/>
        <name val="Cambria"/>
        <scheme val="none"/>
      </font>
    </dxf>
    <dxf>
      <font>
        <color theme="3" tint="0.79998168889431442"/>
        <name val="Cambria"/>
        <scheme val="none"/>
      </font>
    </dxf>
    <dxf>
      <font>
        <color theme="3" tint="0.79998168889431442"/>
        <name val="Cambria"/>
        <scheme val="none"/>
      </font>
    </dxf>
    <dxf>
      <font>
        <color theme="3" tint="0.79998168889431442"/>
        <name val="Cambria"/>
        <scheme val="none"/>
      </font>
    </dxf>
    <dxf>
      <font>
        <color theme="2"/>
      </font>
    </dxf>
    <dxf>
      <font>
        <color theme="3" tint="0.79998168889431442"/>
        <name val="Cambria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pivotCacheDefinition" Target="pivotCache/pivotCacheDefinition4.xml"/></Relationships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4</xdr:row>
      <xdr:rowOff>68580</xdr:rowOff>
    </xdr:from>
    <xdr:to>
      <xdr:col>0</xdr:col>
      <xdr:colOff>662940</xdr:colOff>
      <xdr:row>10</xdr:row>
      <xdr:rowOff>144780</xdr:rowOff>
    </xdr:to>
    <xdr:grpSp>
      <xdr:nvGrpSpPr>
        <xdr:cNvPr id="31666" name="Group 16"/>
        <xdr:cNvGrpSpPr>
          <a:grpSpLocks/>
        </xdr:cNvGrpSpPr>
      </xdr:nvGrpSpPr>
      <xdr:grpSpPr bwMode="auto">
        <a:xfrm>
          <a:off x="297180" y="1219200"/>
          <a:ext cx="365760" cy="1524000"/>
          <a:chOff x="102" y="151"/>
          <a:chExt cx="38" cy="162"/>
        </a:xfrm>
      </xdr:grpSpPr>
      <xdr:sp macro="" textlink="">
        <xdr:nvSpPr>
          <xdr:cNvPr id="31740" name="Freeform 3"/>
          <xdr:cNvSpPr>
            <a:spLocks/>
          </xdr:cNvSpPr>
        </xdr:nvSpPr>
        <xdr:spPr bwMode="auto">
          <a:xfrm>
            <a:off x="124" y="151"/>
            <a:ext cx="15" cy="131"/>
          </a:xfrm>
          <a:custGeom>
            <a:avLst/>
            <a:gdLst>
              <a:gd name="T0" fmla="*/ 13 w 15"/>
              <a:gd name="T1" fmla="*/ 0 h 131"/>
              <a:gd name="T2" fmla="*/ 0 w 15"/>
              <a:gd name="T3" fmla="*/ 0 h 131"/>
              <a:gd name="T4" fmla="*/ 0 w 15"/>
              <a:gd name="T5" fmla="*/ 131 h 131"/>
              <a:gd name="T6" fmla="*/ 15 w 15"/>
              <a:gd name="T7" fmla="*/ 131 h 131"/>
              <a:gd name="T8" fmla="*/ 0 60000 65536"/>
              <a:gd name="T9" fmla="*/ 0 60000 65536"/>
              <a:gd name="T10" fmla="*/ 0 60000 65536"/>
              <a:gd name="T11" fmla="*/ 0 60000 65536"/>
              <a:gd name="T12" fmla="*/ 0 w 15"/>
              <a:gd name="T13" fmla="*/ 0 h 131"/>
              <a:gd name="T14" fmla="*/ 15 w 15"/>
              <a:gd name="T15" fmla="*/ 131 h 13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5" h="131">
                <a:moveTo>
                  <a:pt x="13" y="0"/>
                </a:moveTo>
                <a:lnTo>
                  <a:pt x="0" y="0"/>
                </a:lnTo>
                <a:lnTo>
                  <a:pt x="0" y="131"/>
                </a:lnTo>
                <a:lnTo>
                  <a:pt x="15" y="131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741" name="Freeform 4"/>
          <xdr:cNvSpPr>
            <a:spLocks/>
          </xdr:cNvSpPr>
        </xdr:nvSpPr>
        <xdr:spPr bwMode="auto">
          <a:xfrm>
            <a:off x="102" y="163"/>
            <a:ext cx="38" cy="150"/>
          </a:xfrm>
          <a:custGeom>
            <a:avLst/>
            <a:gdLst>
              <a:gd name="T0" fmla="*/ 2147483647 w 15"/>
              <a:gd name="T1" fmla="*/ 0 h 131"/>
              <a:gd name="T2" fmla="*/ 0 w 15"/>
              <a:gd name="T3" fmla="*/ 0 h 131"/>
              <a:gd name="T4" fmla="*/ 0 w 15"/>
              <a:gd name="T5" fmla="*/ 131619 h 131"/>
              <a:gd name="T6" fmla="*/ 2147483647 w 15"/>
              <a:gd name="T7" fmla="*/ 131619 h 131"/>
              <a:gd name="T8" fmla="*/ 0 60000 65536"/>
              <a:gd name="T9" fmla="*/ 0 60000 65536"/>
              <a:gd name="T10" fmla="*/ 0 60000 65536"/>
              <a:gd name="T11" fmla="*/ 0 60000 65536"/>
              <a:gd name="T12" fmla="*/ 0 w 15"/>
              <a:gd name="T13" fmla="*/ 0 h 131"/>
              <a:gd name="T14" fmla="*/ 15 w 15"/>
              <a:gd name="T15" fmla="*/ 131 h 13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5" h="131">
                <a:moveTo>
                  <a:pt x="13" y="0"/>
                </a:moveTo>
                <a:lnTo>
                  <a:pt x="0" y="0"/>
                </a:lnTo>
                <a:lnTo>
                  <a:pt x="0" y="131"/>
                </a:lnTo>
                <a:lnTo>
                  <a:pt x="15" y="131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7620</xdr:colOff>
      <xdr:row>4</xdr:row>
      <xdr:rowOff>68580</xdr:rowOff>
    </xdr:from>
    <xdr:to>
      <xdr:col>2</xdr:col>
      <xdr:colOff>914400</xdr:colOff>
      <xdr:row>11</xdr:row>
      <xdr:rowOff>144780</xdr:rowOff>
    </xdr:to>
    <xdr:sp macro="" textlink="">
      <xdr:nvSpPr>
        <xdr:cNvPr id="31667" name="Freeform 5"/>
        <xdr:cNvSpPr>
          <a:spLocks/>
        </xdr:cNvSpPr>
      </xdr:nvSpPr>
      <xdr:spPr bwMode="auto">
        <a:xfrm>
          <a:off x="1714500" y="1219200"/>
          <a:ext cx="906780" cy="1836420"/>
        </a:xfrm>
        <a:custGeom>
          <a:avLst/>
          <a:gdLst>
            <a:gd name="T0" fmla="*/ 2147483647 w 37"/>
            <a:gd name="T1" fmla="*/ 0 h 195"/>
            <a:gd name="T2" fmla="*/ 2147483647 w 37"/>
            <a:gd name="T3" fmla="*/ 0 h 195"/>
            <a:gd name="T4" fmla="*/ 2147483647 w 37"/>
            <a:gd name="T5" fmla="*/ 2147483647 h 195"/>
            <a:gd name="T6" fmla="*/ 0 w 37"/>
            <a:gd name="T7" fmla="*/ 2147483647 h 195"/>
            <a:gd name="T8" fmla="*/ 0 60000 65536"/>
            <a:gd name="T9" fmla="*/ 0 60000 65536"/>
            <a:gd name="T10" fmla="*/ 0 60000 65536"/>
            <a:gd name="T11" fmla="*/ 0 60000 65536"/>
            <a:gd name="T12" fmla="*/ 0 w 37"/>
            <a:gd name="T13" fmla="*/ 0 h 195"/>
            <a:gd name="T14" fmla="*/ 37 w 37"/>
            <a:gd name="T15" fmla="*/ 195 h 19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7" h="195">
              <a:moveTo>
                <a:pt x="37" y="0"/>
              </a:moveTo>
              <a:lnTo>
                <a:pt x="19" y="0"/>
              </a:lnTo>
              <a:lnTo>
                <a:pt x="19" y="195"/>
              </a:lnTo>
              <a:lnTo>
                <a:pt x="0" y="195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30480</xdr:colOff>
      <xdr:row>4</xdr:row>
      <xdr:rowOff>175260</xdr:rowOff>
    </xdr:from>
    <xdr:to>
      <xdr:col>2</xdr:col>
      <xdr:colOff>982980</xdr:colOff>
      <xdr:row>12</xdr:row>
      <xdr:rowOff>175260</xdr:rowOff>
    </xdr:to>
    <xdr:sp macro="" textlink="">
      <xdr:nvSpPr>
        <xdr:cNvPr id="31668" name="Freeform 7"/>
        <xdr:cNvSpPr>
          <a:spLocks/>
        </xdr:cNvSpPr>
      </xdr:nvSpPr>
      <xdr:spPr bwMode="auto">
        <a:xfrm>
          <a:off x="1737360" y="1325880"/>
          <a:ext cx="952500" cy="2072640"/>
        </a:xfrm>
        <a:custGeom>
          <a:avLst/>
          <a:gdLst>
            <a:gd name="T0" fmla="*/ 2147483647 w 39"/>
            <a:gd name="T1" fmla="*/ 0 h 220"/>
            <a:gd name="T2" fmla="*/ 2147483647 w 39"/>
            <a:gd name="T3" fmla="*/ 0 h 220"/>
            <a:gd name="T4" fmla="*/ 2147483647 w 39"/>
            <a:gd name="T5" fmla="*/ 2147483647 h 220"/>
            <a:gd name="T6" fmla="*/ 0 w 39"/>
            <a:gd name="T7" fmla="*/ 2147483647 h 220"/>
            <a:gd name="T8" fmla="*/ 0 60000 65536"/>
            <a:gd name="T9" fmla="*/ 0 60000 65536"/>
            <a:gd name="T10" fmla="*/ 0 60000 65536"/>
            <a:gd name="T11" fmla="*/ 0 60000 65536"/>
            <a:gd name="T12" fmla="*/ 0 w 39"/>
            <a:gd name="T13" fmla="*/ 0 h 220"/>
            <a:gd name="T14" fmla="*/ 39 w 39"/>
            <a:gd name="T15" fmla="*/ 220 h 22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39" h="220">
              <a:moveTo>
                <a:pt x="39" y="0"/>
              </a:moveTo>
              <a:lnTo>
                <a:pt x="26" y="0"/>
              </a:lnTo>
              <a:lnTo>
                <a:pt x="26" y="219"/>
              </a:lnTo>
              <a:lnTo>
                <a:pt x="0" y="22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777240</xdr:colOff>
      <xdr:row>4</xdr:row>
      <xdr:rowOff>99060</xdr:rowOff>
    </xdr:from>
    <xdr:to>
      <xdr:col>5</xdr:col>
      <xdr:colOff>0</xdr:colOff>
      <xdr:row>10</xdr:row>
      <xdr:rowOff>175260</xdr:rowOff>
    </xdr:to>
    <xdr:grpSp>
      <xdr:nvGrpSpPr>
        <xdr:cNvPr id="31669" name="Group 18"/>
        <xdr:cNvGrpSpPr>
          <a:grpSpLocks/>
        </xdr:cNvGrpSpPr>
      </xdr:nvGrpSpPr>
      <xdr:grpSpPr bwMode="auto">
        <a:xfrm>
          <a:off x="4526280" y="1249680"/>
          <a:ext cx="243840" cy="1524000"/>
          <a:chOff x="442" y="152"/>
          <a:chExt cx="38" cy="162"/>
        </a:xfrm>
      </xdr:grpSpPr>
      <xdr:sp macro="" textlink="">
        <xdr:nvSpPr>
          <xdr:cNvPr id="31738" name="Freeform 12"/>
          <xdr:cNvSpPr>
            <a:spLocks/>
          </xdr:cNvSpPr>
        </xdr:nvSpPr>
        <xdr:spPr bwMode="auto">
          <a:xfrm>
            <a:off x="464" y="152"/>
            <a:ext cx="15" cy="131"/>
          </a:xfrm>
          <a:custGeom>
            <a:avLst/>
            <a:gdLst>
              <a:gd name="T0" fmla="*/ 13 w 15"/>
              <a:gd name="T1" fmla="*/ 0 h 131"/>
              <a:gd name="T2" fmla="*/ 0 w 15"/>
              <a:gd name="T3" fmla="*/ 0 h 131"/>
              <a:gd name="T4" fmla="*/ 0 w 15"/>
              <a:gd name="T5" fmla="*/ 131 h 131"/>
              <a:gd name="T6" fmla="*/ 15 w 15"/>
              <a:gd name="T7" fmla="*/ 131 h 131"/>
              <a:gd name="T8" fmla="*/ 0 60000 65536"/>
              <a:gd name="T9" fmla="*/ 0 60000 65536"/>
              <a:gd name="T10" fmla="*/ 0 60000 65536"/>
              <a:gd name="T11" fmla="*/ 0 60000 65536"/>
              <a:gd name="T12" fmla="*/ 0 w 15"/>
              <a:gd name="T13" fmla="*/ 0 h 131"/>
              <a:gd name="T14" fmla="*/ 15 w 15"/>
              <a:gd name="T15" fmla="*/ 131 h 13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5" h="131">
                <a:moveTo>
                  <a:pt x="13" y="0"/>
                </a:moveTo>
                <a:lnTo>
                  <a:pt x="0" y="0"/>
                </a:lnTo>
                <a:lnTo>
                  <a:pt x="0" y="131"/>
                </a:lnTo>
                <a:lnTo>
                  <a:pt x="15" y="131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739" name="Freeform 13"/>
          <xdr:cNvSpPr>
            <a:spLocks/>
          </xdr:cNvSpPr>
        </xdr:nvSpPr>
        <xdr:spPr bwMode="auto">
          <a:xfrm>
            <a:off x="442" y="164"/>
            <a:ext cx="38" cy="150"/>
          </a:xfrm>
          <a:custGeom>
            <a:avLst/>
            <a:gdLst>
              <a:gd name="T0" fmla="*/ 2147483647 w 15"/>
              <a:gd name="T1" fmla="*/ 0 h 131"/>
              <a:gd name="T2" fmla="*/ 0 w 15"/>
              <a:gd name="T3" fmla="*/ 0 h 131"/>
              <a:gd name="T4" fmla="*/ 0 w 15"/>
              <a:gd name="T5" fmla="*/ 131619 h 131"/>
              <a:gd name="T6" fmla="*/ 2147483647 w 15"/>
              <a:gd name="T7" fmla="*/ 131619 h 131"/>
              <a:gd name="T8" fmla="*/ 0 60000 65536"/>
              <a:gd name="T9" fmla="*/ 0 60000 65536"/>
              <a:gd name="T10" fmla="*/ 0 60000 65536"/>
              <a:gd name="T11" fmla="*/ 0 60000 65536"/>
              <a:gd name="T12" fmla="*/ 0 w 15"/>
              <a:gd name="T13" fmla="*/ 0 h 131"/>
              <a:gd name="T14" fmla="*/ 15 w 15"/>
              <a:gd name="T15" fmla="*/ 131 h 13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5" h="131">
                <a:moveTo>
                  <a:pt x="13" y="0"/>
                </a:moveTo>
                <a:lnTo>
                  <a:pt x="0" y="0"/>
                </a:lnTo>
                <a:lnTo>
                  <a:pt x="0" y="131"/>
                </a:lnTo>
                <a:lnTo>
                  <a:pt x="15" y="131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</xdr:col>
      <xdr:colOff>38100</xdr:colOff>
      <xdr:row>4</xdr:row>
      <xdr:rowOff>76200</xdr:rowOff>
    </xdr:from>
    <xdr:to>
      <xdr:col>7</xdr:col>
      <xdr:colOff>30480</xdr:colOff>
      <xdr:row>12</xdr:row>
      <xdr:rowOff>182880</xdr:rowOff>
    </xdr:to>
    <xdr:grpSp>
      <xdr:nvGrpSpPr>
        <xdr:cNvPr id="31670" name="Group 19"/>
        <xdr:cNvGrpSpPr>
          <a:grpSpLocks/>
        </xdr:cNvGrpSpPr>
      </xdr:nvGrpSpPr>
      <xdr:grpSpPr bwMode="auto">
        <a:xfrm>
          <a:off x="5829300" y="1226820"/>
          <a:ext cx="1013460" cy="2179320"/>
          <a:chOff x="590" y="152"/>
          <a:chExt cx="40" cy="231"/>
        </a:xfrm>
      </xdr:grpSpPr>
      <xdr:sp macro="" textlink="">
        <xdr:nvSpPr>
          <xdr:cNvPr id="31736" name="Freeform 14"/>
          <xdr:cNvSpPr>
            <a:spLocks/>
          </xdr:cNvSpPr>
        </xdr:nvSpPr>
        <xdr:spPr bwMode="auto">
          <a:xfrm>
            <a:off x="590" y="152"/>
            <a:ext cx="37" cy="195"/>
          </a:xfrm>
          <a:custGeom>
            <a:avLst/>
            <a:gdLst>
              <a:gd name="T0" fmla="*/ 37 w 37"/>
              <a:gd name="T1" fmla="*/ 0 h 195"/>
              <a:gd name="T2" fmla="*/ 19 w 37"/>
              <a:gd name="T3" fmla="*/ 0 h 195"/>
              <a:gd name="T4" fmla="*/ 19 w 37"/>
              <a:gd name="T5" fmla="*/ 195 h 195"/>
              <a:gd name="T6" fmla="*/ 0 w 37"/>
              <a:gd name="T7" fmla="*/ 195 h 195"/>
              <a:gd name="T8" fmla="*/ 0 60000 65536"/>
              <a:gd name="T9" fmla="*/ 0 60000 65536"/>
              <a:gd name="T10" fmla="*/ 0 60000 65536"/>
              <a:gd name="T11" fmla="*/ 0 60000 65536"/>
              <a:gd name="T12" fmla="*/ 0 w 37"/>
              <a:gd name="T13" fmla="*/ 0 h 195"/>
              <a:gd name="T14" fmla="*/ 37 w 37"/>
              <a:gd name="T15" fmla="*/ 195 h 19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7" h="195">
                <a:moveTo>
                  <a:pt x="37" y="0"/>
                </a:moveTo>
                <a:lnTo>
                  <a:pt x="19" y="0"/>
                </a:lnTo>
                <a:lnTo>
                  <a:pt x="19" y="195"/>
                </a:lnTo>
                <a:lnTo>
                  <a:pt x="0" y="195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737" name="Freeform 15"/>
          <xdr:cNvSpPr>
            <a:spLocks/>
          </xdr:cNvSpPr>
        </xdr:nvSpPr>
        <xdr:spPr bwMode="auto">
          <a:xfrm>
            <a:off x="591" y="163"/>
            <a:ext cx="39" cy="220"/>
          </a:xfrm>
          <a:custGeom>
            <a:avLst/>
            <a:gdLst>
              <a:gd name="T0" fmla="*/ 39 w 39"/>
              <a:gd name="T1" fmla="*/ 0 h 220"/>
              <a:gd name="T2" fmla="*/ 26 w 39"/>
              <a:gd name="T3" fmla="*/ 0 h 220"/>
              <a:gd name="T4" fmla="*/ 26 w 39"/>
              <a:gd name="T5" fmla="*/ 219 h 220"/>
              <a:gd name="T6" fmla="*/ 0 w 39"/>
              <a:gd name="T7" fmla="*/ 220 h 220"/>
              <a:gd name="T8" fmla="*/ 0 60000 65536"/>
              <a:gd name="T9" fmla="*/ 0 60000 65536"/>
              <a:gd name="T10" fmla="*/ 0 60000 65536"/>
              <a:gd name="T11" fmla="*/ 0 60000 65536"/>
              <a:gd name="T12" fmla="*/ 0 w 39"/>
              <a:gd name="T13" fmla="*/ 0 h 220"/>
              <a:gd name="T14" fmla="*/ 39 w 39"/>
              <a:gd name="T15" fmla="*/ 220 h 22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39" h="220">
                <a:moveTo>
                  <a:pt x="39" y="0"/>
                </a:moveTo>
                <a:lnTo>
                  <a:pt x="26" y="0"/>
                </a:lnTo>
                <a:lnTo>
                  <a:pt x="26" y="219"/>
                </a:lnTo>
                <a:lnTo>
                  <a:pt x="0" y="22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</xdr:col>
      <xdr:colOff>7620</xdr:colOff>
      <xdr:row>4</xdr:row>
      <xdr:rowOff>236220</xdr:rowOff>
    </xdr:from>
    <xdr:to>
      <xdr:col>3</xdr:col>
      <xdr:colOff>0</xdr:colOff>
      <xdr:row>14</xdr:row>
      <xdr:rowOff>175260</xdr:rowOff>
    </xdr:to>
    <xdr:sp macro="" textlink="">
      <xdr:nvSpPr>
        <xdr:cNvPr id="31671" name="Freeform 20"/>
        <xdr:cNvSpPr>
          <a:spLocks/>
        </xdr:cNvSpPr>
      </xdr:nvSpPr>
      <xdr:spPr bwMode="auto">
        <a:xfrm>
          <a:off x="1714500" y="1386840"/>
          <a:ext cx="1013460" cy="2621280"/>
        </a:xfrm>
        <a:custGeom>
          <a:avLst/>
          <a:gdLst>
            <a:gd name="T0" fmla="*/ 0 w 70"/>
            <a:gd name="T1" fmla="*/ 0 h 277"/>
            <a:gd name="T2" fmla="*/ 2147483647 w 70"/>
            <a:gd name="T3" fmla="*/ 0 h 277"/>
            <a:gd name="T4" fmla="*/ 2147483647 w 70"/>
            <a:gd name="T5" fmla="*/ 2147483647 h 277"/>
            <a:gd name="T6" fmla="*/ 2147483647 w 70"/>
            <a:gd name="T7" fmla="*/ 2147483647 h 277"/>
            <a:gd name="T8" fmla="*/ 0 60000 65536"/>
            <a:gd name="T9" fmla="*/ 0 60000 65536"/>
            <a:gd name="T10" fmla="*/ 0 60000 65536"/>
            <a:gd name="T11" fmla="*/ 0 60000 65536"/>
            <a:gd name="T12" fmla="*/ 0 w 70"/>
            <a:gd name="T13" fmla="*/ 0 h 277"/>
            <a:gd name="T14" fmla="*/ 70 w 70"/>
            <a:gd name="T15" fmla="*/ 277 h 277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0" h="277">
              <a:moveTo>
                <a:pt x="0" y="0"/>
              </a:moveTo>
              <a:lnTo>
                <a:pt x="18" y="0"/>
              </a:lnTo>
              <a:lnTo>
                <a:pt x="19" y="277"/>
              </a:lnTo>
              <a:lnTo>
                <a:pt x="70" y="277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</xdr:row>
      <xdr:rowOff>190500</xdr:rowOff>
    </xdr:from>
    <xdr:to>
      <xdr:col>4</xdr:col>
      <xdr:colOff>167640</xdr:colOff>
      <xdr:row>15</xdr:row>
      <xdr:rowOff>160020</xdr:rowOff>
    </xdr:to>
    <xdr:grpSp>
      <xdr:nvGrpSpPr>
        <xdr:cNvPr id="31672" name="Group 27"/>
        <xdr:cNvGrpSpPr>
          <a:grpSpLocks/>
        </xdr:cNvGrpSpPr>
      </xdr:nvGrpSpPr>
      <xdr:grpSpPr bwMode="auto">
        <a:xfrm>
          <a:off x="3749040" y="1341120"/>
          <a:ext cx="167640" cy="2956560"/>
          <a:chOff x="429" y="164"/>
          <a:chExt cx="17" cy="313"/>
        </a:xfrm>
      </xdr:grpSpPr>
      <xdr:sp macro="" textlink="">
        <xdr:nvSpPr>
          <xdr:cNvPr id="31733" name="Line 24"/>
          <xdr:cNvSpPr>
            <a:spLocks noChangeShapeType="1"/>
          </xdr:cNvSpPr>
        </xdr:nvSpPr>
        <xdr:spPr bwMode="auto">
          <a:xfrm>
            <a:off x="433" y="167"/>
            <a:ext cx="1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734" name="Line 25"/>
          <xdr:cNvSpPr>
            <a:spLocks noChangeShapeType="1"/>
          </xdr:cNvSpPr>
        </xdr:nvSpPr>
        <xdr:spPr bwMode="auto">
          <a:xfrm>
            <a:off x="446" y="164"/>
            <a:ext cx="0" cy="31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735" name="Line 26"/>
          <xdr:cNvSpPr>
            <a:spLocks noChangeShapeType="1"/>
          </xdr:cNvSpPr>
        </xdr:nvSpPr>
        <xdr:spPr bwMode="auto">
          <a:xfrm flipH="1">
            <a:off x="429" y="477"/>
            <a:ext cx="1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7620</xdr:colOff>
      <xdr:row>4</xdr:row>
      <xdr:rowOff>182880</xdr:rowOff>
    </xdr:from>
    <xdr:to>
      <xdr:col>8</xdr:col>
      <xdr:colOff>175260</xdr:colOff>
      <xdr:row>15</xdr:row>
      <xdr:rowOff>152400</xdr:rowOff>
    </xdr:to>
    <xdr:grpSp>
      <xdr:nvGrpSpPr>
        <xdr:cNvPr id="31673" name="Group 28"/>
        <xdr:cNvGrpSpPr>
          <a:grpSpLocks/>
        </xdr:cNvGrpSpPr>
      </xdr:nvGrpSpPr>
      <xdr:grpSpPr bwMode="auto">
        <a:xfrm>
          <a:off x="7840980" y="1333500"/>
          <a:ext cx="167640" cy="2956560"/>
          <a:chOff x="429" y="164"/>
          <a:chExt cx="17" cy="313"/>
        </a:xfrm>
      </xdr:grpSpPr>
      <xdr:sp macro="" textlink="">
        <xdr:nvSpPr>
          <xdr:cNvPr id="31730" name="Line 29"/>
          <xdr:cNvSpPr>
            <a:spLocks noChangeShapeType="1"/>
          </xdr:cNvSpPr>
        </xdr:nvSpPr>
        <xdr:spPr bwMode="auto">
          <a:xfrm>
            <a:off x="433" y="167"/>
            <a:ext cx="1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731" name="Line 30"/>
          <xdr:cNvSpPr>
            <a:spLocks noChangeShapeType="1"/>
          </xdr:cNvSpPr>
        </xdr:nvSpPr>
        <xdr:spPr bwMode="auto">
          <a:xfrm>
            <a:off x="446" y="164"/>
            <a:ext cx="0" cy="31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732" name="Line 31"/>
          <xdr:cNvSpPr>
            <a:spLocks noChangeShapeType="1"/>
          </xdr:cNvSpPr>
        </xdr:nvSpPr>
        <xdr:spPr bwMode="auto">
          <a:xfrm flipH="1">
            <a:off x="429" y="477"/>
            <a:ext cx="1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7620</xdr:colOff>
      <xdr:row>4</xdr:row>
      <xdr:rowOff>220980</xdr:rowOff>
    </xdr:from>
    <xdr:to>
      <xdr:col>7</xdr:col>
      <xdr:colOff>0</xdr:colOff>
      <xdr:row>14</xdr:row>
      <xdr:rowOff>152400</xdr:rowOff>
    </xdr:to>
    <xdr:sp macro="" textlink="">
      <xdr:nvSpPr>
        <xdr:cNvPr id="31674" name="Freeform 32"/>
        <xdr:cNvSpPr>
          <a:spLocks/>
        </xdr:cNvSpPr>
      </xdr:nvSpPr>
      <xdr:spPr bwMode="auto">
        <a:xfrm>
          <a:off x="5798820" y="1371600"/>
          <a:ext cx="1013460" cy="2613660"/>
        </a:xfrm>
        <a:custGeom>
          <a:avLst/>
          <a:gdLst>
            <a:gd name="T0" fmla="*/ 0 w 70"/>
            <a:gd name="T1" fmla="*/ 0 h 277"/>
            <a:gd name="T2" fmla="*/ 2147483647 w 70"/>
            <a:gd name="T3" fmla="*/ 0 h 277"/>
            <a:gd name="T4" fmla="*/ 2147483647 w 70"/>
            <a:gd name="T5" fmla="*/ 2147483647 h 277"/>
            <a:gd name="T6" fmla="*/ 2147483647 w 70"/>
            <a:gd name="T7" fmla="*/ 2147483647 h 277"/>
            <a:gd name="T8" fmla="*/ 0 60000 65536"/>
            <a:gd name="T9" fmla="*/ 0 60000 65536"/>
            <a:gd name="T10" fmla="*/ 0 60000 65536"/>
            <a:gd name="T11" fmla="*/ 0 60000 65536"/>
            <a:gd name="T12" fmla="*/ 0 w 70"/>
            <a:gd name="T13" fmla="*/ 0 h 277"/>
            <a:gd name="T14" fmla="*/ 70 w 70"/>
            <a:gd name="T15" fmla="*/ 277 h 277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70" h="277">
              <a:moveTo>
                <a:pt x="0" y="0"/>
              </a:moveTo>
              <a:lnTo>
                <a:pt x="18" y="0"/>
              </a:lnTo>
              <a:lnTo>
                <a:pt x="19" y="277"/>
              </a:lnTo>
              <a:lnTo>
                <a:pt x="70" y="277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320040</xdr:colOff>
      <xdr:row>13</xdr:row>
      <xdr:rowOff>137160</xdr:rowOff>
    </xdr:from>
    <xdr:to>
      <xdr:col>0</xdr:col>
      <xdr:colOff>693420</xdr:colOff>
      <xdr:row>18</xdr:row>
      <xdr:rowOff>152400</xdr:rowOff>
    </xdr:to>
    <xdr:grpSp>
      <xdr:nvGrpSpPr>
        <xdr:cNvPr id="31675" name="Group 35"/>
        <xdr:cNvGrpSpPr>
          <a:grpSpLocks/>
        </xdr:cNvGrpSpPr>
      </xdr:nvGrpSpPr>
      <xdr:grpSpPr bwMode="auto">
        <a:xfrm>
          <a:off x="320040" y="3665220"/>
          <a:ext cx="365760" cy="1539240"/>
          <a:chOff x="102" y="151"/>
          <a:chExt cx="38" cy="162"/>
        </a:xfrm>
      </xdr:grpSpPr>
      <xdr:sp macro="" textlink="">
        <xdr:nvSpPr>
          <xdr:cNvPr id="31728" name="Freeform 36"/>
          <xdr:cNvSpPr>
            <a:spLocks/>
          </xdr:cNvSpPr>
        </xdr:nvSpPr>
        <xdr:spPr bwMode="auto">
          <a:xfrm>
            <a:off x="124" y="151"/>
            <a:ext cx="15" cy="131"/>
          </a:xfrm>
          <a:custGeom>
            <a:avLst/>
            <a:gdLst>
              <a:gd name="T0" fmla="*/ 13 w 15"/>
              <a:gd name="T1" fmla="*/ 0 h 131"/>
              <a:gd name="T2" fmla="*/ 0 w 15"/>
              <a:gd name="T3" fmla="*/ 0 h 131"/>
              <a:gd name="T4" fmla="*/ 0 w 15"/>
              <a:gd name="T5" fmla="*/ 131 h 131"/>
              <a:gd name="T6" fmla="*/ 15 w 15"/>
              <a:gd name="T7" fmla="*/ 131 h 131"/>
              <a:gd name="T8" fmla="*/ 0 60000 65536"/>
              <a:gd name="T9" fmla="*/ 0 60000 65536"/>
              <a:gd name="T10" fmla="*/ 0 60000 65536"/>
              <a:gd name="T11" fmla="*/ 0 60000 65536"/>
              <a:gd name="T12" fmla="*/ 0 w 15"/>
              <a:gd name="T13" fmla="*/ 0 h 131"/>
              <a:gd name="T14" fmla="*/ 15 w 15"/>
              <a:gd name="T15" fmla="*/ 131 h 13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5" h="131">
                <a:moveTo>
                  <a:pt x="13" y="0"/>
                </a:moveTo>
                <a:lnTo>
                  <a:pt x="0" y="0"/>
                </a:lnTo>
                <a:lnTo>
                  <a:pt x="0" y="131"/>
                </a:lnTo>
                <a:lnTo>
                  <a:pt x="15" y="131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729" name="Freeform 37"/>
          <xdr:cNvSpPr>
            <a:spLocks/>
          </xdr:cNvSpPr>
        </xdr:nvSpPr>
        <xdr:spPr bwMode="auto">
          <a:xfrm>
            <a:off x="102" y="163"/>
            <a:ext cx="38" cy="150"/>
          </a:xfrm>
          <a:custGeom>
            <a:avLst/>
            <a:gdLst>
              <a:gd name="T0" fmla="*/ 2147483647 w 15"/>
              <a:gd name="T1" fmla="*/ 0 h 131"/>
              <a:gd name="T2" fmla="*/ 0 w 15"/>
              <a:gd name="T3" fmla="*/ 0 h 131"/>
              <a:gd name="T4" fmla="*/ 0 w 15"/>
              <a:gd name="T5" fmla="*/ 131619 h 131"/>
              <a:gd name="T6" fmla="*/ 2147483647 w 15"/>
              <a:gd name="T7" fmla="*/ 131619 h 131"/>
              <a:gd name="T8" fmla="*/ 0 60000 65536"/>
              <a:gd name="T9" fmla="*/ 0 60000 65536"/>
              <a:gd name="T10" fmla="*/ 0 60000 65536"/>
              <a:gd name="T11" fmla="*/ 0 60000 65536"/>
              <a:gd name="T12" fmla="*/ 0 w 15"/>
              <a:gd name="T13" fmla="*/ 0 h 131"/>
              <a:gd name="T14" fmla="*/ 15 w 15"/>
              <a:gd name="T15" fmla="*/ 131 h 131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15" h="131">
                <a:moveTo>
                  <a:pt x="13" y="0"/>
                </a:moveTo>
                <a:lnTo>
                  <a:pt x="0" y="0"/>
                </a:lnTo>
                <a:lnTo>
                  <a:pt x="0" y="131"/>
                </a:lnTo>
                <a:lnTo>
                  <a:pt x="15" y="131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4</xdr:col>
      <xdr:colOff>678180</xdr:colOff>
      <xdr:row>13</xdr:row>
      <xdr:rowOff>114300</xdr:rowOff>
    </xdr:from>
    <xdr:to>
      <xdr:col>4</xdr:col>
      <xdr:colOff>960120</xdr:colOff>
      <xdr:row>13</xdr:row>
      <xdr:rowOff>114300</xdr:rowOff>
    </xdr:to>
    <xdr:sp macro="" textlink="">
      <xdr:nvSpPr>
        <xdr:cNvPr id="31676" name="Line 39"/>
        <xdr:cNvSpPr>
          <a:spLocks noChangeShapeType="1"/>
        </xdr:cNvSpPr>
      </xdr:nvSpPr>
      <xdr:spPr bwMode="auto">
        <a:xfrm flipH="1">
          <a:off x="4427220" y="3642360"/>
          <a:ext cx="281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670560</xdr:colOff>
      <xdr:row>13</xdr:row>
      <xdr:rowOff>137160</xdr:rowOff>
    </xdr:from>
    <xdr:to>
      <xdr:col>4</xdr:col>
      <xdr:colOff>670560</xdr:colOff>
      <xdr:row>19</xdr:row>
      <xdr:rowOff>144780</xdr:rowOff>
    </xdr:to>
    <xdr:sp macro="" textlink="">
      <xdr:nvSpPr>
        <xdr:cNvPr id="31677" name="Line 40"/>
        <xdr:cNvSpPr>
          <a:spLocks noChangeShapeType="1"/>
        </xdr:cNvSpPr>
      </xdr:nvSpPr>
      <xdr:spPr bwMode="auto">
        <a:xfrm>
          <a:off x="4419600" y="3665220"/>
          <a:ext cx="0" cy="1836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990600</xdr:colOff>
      <xdr:row>19</xdr:row>
      <xdr:rowOff>144780</xdr:rowOff>
    </xdr:from>
    <xdr:to>
      <xdr:col>4</xdr:col>
      <xdr:colOff>670560</xdr:colOff>
      <xdr:row>19</xdr:row>
      <xdr:rowOff>144780</xdr:rowOff>
    </xdr:to>
    <xdr:sp macro="" textlink="">
      <xdr:nvSpPr>
        <xdr:cNvPr id="31678" name="Line 41"/>
        <xdr:cNvSpPr>
          <a:spLocks noChangeShapeType="1"/>
        </xdr:cNvSpPr>
      </xdr:nvSpPr>
      <xdr:spPr bwMode="auto">
        <a:xfrm flipH="1">
          <a:off x="1676400" y="5501640"/>
          <a:ext cx="2743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815340</xdr:colOff>
      <xdr:row>13</xdr:row>
      <xdr:rowOff>228600</xdr:rowOff>
    </xdr:from>
    <xdr:to>
      <xdr:col>5</xdr:col>
      <xdr:colOff>0</xdr:colOff>
      <xdr:row>13</xdr:row>
      <xdr:rowOff>228600</xdr:rowOff>
    </xdr:to>
    <xdr:sp macro="" textlink="">
      <xdr:nvSpPr>
        <xdr:cNvPr id="31679" name="Line 45"/>
        <xdr:cNvSpPr>
          <a:spLocks noChangeShapeType="1"/>
        </xdr:cNvSpPr>
      </xdr:nvSpPr>
      <xdr:spPr bwMode="auto">
        <a:xfrm flipH="1">
          <a:off x="4564380" y="3756660"/>
          <a:ext cx="2057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815340</xdr:colOff>
      <xdr:row>13</xdr:row>
      <xdr:rowOff>251460</xdr:rowOff>
    </xdr:from>
    <xdr:to>
      <xdr:col>4</xdr:col>
      <xdr:colOff>815340</xdr:colOff>
      <xdr:row>20</xdr:row>
      <xdr:rowOff>175260</xdr:rowOff>
    </xdr:to>
    <xdr:sp macro="" textlink="">
      <xdr:nvSpPr>
        <xdr:cNvPr id="31680" name="Line 46"/>
        <xdr:cNvSpPr>
          <a:spLocks noChangeShapeType="1"/>
        </xdr:cNvSpPr>
      </xdr:nvSpPr>
      <xdr:spPr bwMode="auto">
        <a:xfrm flipH="1">
          <a:off x="4564380" y="3779520"/>
          <a:ext cx="0" cy="2057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</xdr:colOff>
      <xdr:row>20</xdr:row>
      <xdr:rowOff>160020</xdr:rowOff>
    </xdr:from>
    <xdr:to>
      <xdr:col>4</xdr:col>
      <xdr:colOff>815340</xdr:colOff>
      <xdr:row>20</xdr:row>
      <xdr:rowOff>160020</xdr:rowOff>
    </xdr:to>
    <xdr:sp macro="" textlink="">
      <xdr:nvSpPr>
        <xdr:cNvPr id="31681" name="Line 47"/>
        <xdr:cNvSpPr>
          <a:spLocks noChangeShapeType="1"/>
        </xdr:cNvSpPr>
      </xdr:nvSpPr>
      <xdr:spPr bwMode="auto">
        <a:xfrm flipH="1">
          <a:off x="1729740" y="5821680"/>
          <a:ext cx="28346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144780</xdr:colOff>
      <xdr:row>13</xdr:row>
      <xdr:rowOff>68580</xdr:rowOff>
    </xdr:from>
    <xdr:to>
      <xdr:col>1</xdr:col>
      <xdr:colOff>0</xdr:colOff>
      <xdr:row>13</xdr:row>
      <xdr:rowOff>68580</xdr:rowOff>
    </xdr:to>
    <xdr:sp macro="" textlink="">
      <xdr:nvSpPr>
        <xdr:cNvPr id="31682" name="Line 48"/>
        <xdr:cNvSpPr>
          <a:spLocks noChangeShapeType="1"/>
        </xdr:cNvSpPr>
      </xdr:nvSpPr>
      <xdr:spPr bwMode="auto">
        <a:xfrm flipH="1">
          <a:off x="144780" y="3596640"/>
          <a:ext cx="5410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137160</xdr:colOff>
      <xdr:row>13</xdr:row>
      <xdr:rowOff>68580</xdr:rowOff>
    </xdr:from>
    <xdr:to>
      <xdr:col>0</xdr:col>
      <xdr:colOff>137160</xdr:colOff>
      <xdr:row>24</xdr:row>
      <xdr:rowOff>152400</xdr:rowOff>
    </xdr:to>
    <xdr:sp macro="" textlink="">
      <xdr:nvSpPr>
        <xdr:cNvPr id="31683" name="Line 49"/>
        <xdr:cNvSpPr>
          <a:spLocks noChangeShapeType="1"/>
        </xdr:cNvSpPr>
      </xdr:nvSpPr>
      <xdr:spPr bwMode="auto">
        <a:xfrm>
          <a:off x="137160" y="3596640"/>
          <a:ext cx="0" cy="3436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129540</xdr:colOff>
      <xdr:row>24</xdr:row>
      <xdr:rowOff>175260</xdr:rowOff>
    </xdr:from>
    <xdr:to>
      <xdr:col>0</xdr:col>
      <xdr:colOff>685800</xdr:colOff>
      <xdr:row>24</xdr:row>
      <xdr:rowOff>175260</xdr:rowOff>
    </xdr:to>
    <xdr:sp macro="" textlink="">
      <xdr:nvSpPr>
        <xdr:cNvPr id="31684" name="Line 50"/>
        <xdr:cNvSpPr>
          <a:spLocks noChangeShapeType="1"/>
        </xdr:cNvSpPr>
      </xdr:nvSpPr>
      <xdr:spPr bwMode="auto">
        <a:xfrm>
          <a:off x="129540" y="7056120"/>
          <a:ext cx="5562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480060</xdr:colOff>
      <xdr:row>21</xdr:row>
      <xdr:rowOff>137160</xdr:rowOff>
    </xdr:from>
    <xdr:to>
      <xdr:col>0</xdr:col>
      <xdr:colOff>662940</xdr:colOff>
      <xdr:row>21</xdr:row>
      <xdr:rowOff>137160</xdr:rowOff>
    </xdr:to>
    <xdr:sp macro="" textlink="">
      <xdr:nvSpPr>
        <xdr:cNvPr id="31685" name="Line 51"/>
        <xdr:cNvSpPr>
          <a:spLocks noChangeShapeType="1"/>
        </xdr:cNvSpPr>
      </xdr:nvSpPr>
      <xdr:spPr bwMode="auto">
        <a:xfrm flipH="1">
          <a:off x="480060" y="6103620"/>
          <a:ext cx="1828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487680</xdr:colOff>
      <xdr:row>21</xdr:row>
      <xdr:rowOff>152400</xdr:rowOff>
    </xdr:from>
    <xdr:to>
      <xdr:col>0</xdr:col>
      <xdr:colOff>487680</xdr:colOff>
      <xdr:row>25</xdr:row>
      <xdr:rowOff>106680</xdr:rowOff>
    </xdr:to>
    <xdr:sp macro="" textlink="">
      <xdr:nvSpPr>
        <xdr:cNvPr id="31686" name="Line 52"/>
        <xdr:cNvSpPr>
          <a:spLocks noChangeShapeType="1"/>
        </xdr:cNvSpPr>
      </xdr:nvSpPr>
      <xdr:spPr bwMode="auto">
        <a:xfrm>
          <a:off x="487680" y="6118860"/>
          <a:ext cx="0" cy="11734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472440</xdr:colOff>
      <xdr:row>25</xdr:row>
      <xdr:rowOff>106680</xdr:rowOff>
    </xdr:from>
    <xdr:to>
      <xdr:col>0</xdr:col>
      <xdr:colOff>670560</xdr:colOff>
      <xdr:row>25</xdr:row>
      <xdr:rowOff>106680</xdr:rowOff>
    </xdr:to>
    <xdr:sp macro="" textlink="">
      <xdr:nvSpPr>
        <xdr:cNvPr id="31687" name="Line 53"/>
        <xdr:cNvSpPr>
          <a:spLocks noChangeShapeType="1"/>
        </xdr:cNvSpPr>
      </xdr:nvSpPr>
      <xdr:spPr bwMode="auto">
        <a:xfrm>
          <a:off x="472440" y="7292340"/>
          <a:ext cx="1981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21</xdr:row>
      <xdr:rowOff>76200</xdr:rowOff>
    </xdr:from>
    <xdr:to>
      <xdr:col>2</xdr:col>
      <xdr:colOff>312420</xdr:colOff>
      <xdr:row>21</xdr:row>
      <xdr:rowOff>76200</xdr:rowOff>
    </xdr:to>
    <xdr:sp macro="" textlink="">
      <xdr:nvSpPr>
        <xdr:cNvPr id="31688" name="Line 56"/>
        <xdr:cNvSpPr>
          <a:spLocks noChangeShapeType="1"/>
        </xdr:cNvSpPr>
      </xdr:nvSpPr>
      <xdr:spPr bwMode="auto">
        <a:xfrm>
          <a:off x="1714500" y="604266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312420</xdr:colOff>
      <xdr:row>21</xdr:row>
      <xdr:rowOff>76200</xdr:rowOff>
    </xdr:from>
    <xdr:to>
      <xdr:col>2</xdr:col>
      <xdr:colOff>312420</xdr:colOff>
      <xdr:row>25</xdr:row>
      <xdr:rowOff>152400</xdr:rowOff>
    </xdr:to>
    <xdr:sp macro="" textlink="">
      <xdr:nvSpPr>
        <xdr:cNvPr id="31689" name="Line 57"/>
        <xdr:cNvSpPr>
          <a:spLocks noChangeShapeType="1"/>
        </xdr:cNvSpPr>
      </xdr:nvSpPr>
      <xdr:spPr bwMode="auto">
        <a:xfrm>
          <a:off x="2019300" y="6042660"/>
          <a:ext cx="0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312420</xdr:colOff>
      <xdr:row>25</xdr:row>
      <xdr:rowOff>160020</xdr:rowOff>
    </xdr:from>
    <xdr:to>
      <xdr:col>3</xdr:col>
      <xdr:colOff>0</xdr:colOff>
      <xdr:row>25</xdr:row>
      <xdr:rowOff>160020</xdr:rowOff>
    </xdr:to>
    <xdr:sp macro="" textlink="">
      <xdr:nvSpPr>
        <xdr:cNvPr id="31690" name="Line 58"/>
        <xdr:cNvSpPr>
          <a:spLocks noChangeShapeType="1"/>
        </xdr:cNvSpPr>
      </xdr:nvSpPr>
      <xdr:spPr bwMode="auto">
        <a:xfrm>
          <a:off x="2019300" y="7345680"/>
          <a:ext cx="7086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13</xdr:row>
      <xdr:rowOff>60960</xdr:rowOff>
    </xdr:from>
    <xdr:to>
      <xdr:col>5</xdr:col>
      <xdr:colOff>0</xdr:colOff>
      <xdr:row>13</xdr:row>
      <xdr:rowOff>60960</xdr:rowOff>
    </xdr:to>
    <xdr:sp macro="" textlink="">
      <xdr:nvSpPr>
        <xdr:cNvPr id="31691" name="Line 59"/>
        <xdr:cNvSpPr>
          <a:spLocks noChangeShapeType="1"/>
        </xdr:cNvSpPr>
      </xdr:nvSpPr>
      <xdr:spPr bwMode="auto">
        <a:xfrm flipH="1">
          <a:off x="4130040" y="3589020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13</xdr:row>
      <xdr:rowOff>60960</xdr:rowOff>
    </xdr:from>
    <xdr:to>
      <xdr:col>4</xdr:col>
      <xdr:colOff>381000</xdr:colOff>
      <xdr:row>24</xdr:row>
      <xdr:rowOff>160020</xdr:rowOff>
    </xdr:to>
    <xdr:sp macro="" textlink="">
      <xdr:nvSpPr>
        <xdr:cNvPr id="31692" name="Line 60"/>
        <xdr:cNvSpPr>
          <a:spLocks noChangeShapeType="1"/>
        </xdr:cNvSpPr>
      </xdr:nvSpPr>
      <xdr:spPr bwMode="auto">
        <a:xfrm>
          <a:off x="4130040" y="3589020"/>
          <a:ext cx="0" cy="3451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30480</xdr:colOff>
      <xdr:row>24</xdr:row>
      <xdr:rowOff>175260</xdr:rowOff>
    </xdr:from>
    <xdr:to>
      <xdr:col>4</xdr:col>
      <xdr:colOff>381000</xdr:colOff>
      <xdr:row>24</xdr:row>
      <xdr:rowOff>175260</xdr:rowOff>
    </xdr:to>
    <xdr:sp macro="" textlink="">
      <xdr:nvSpPr>
        <xdr:cNvPr id="31693" name="Line 61"/>
        <xdr:cNvSpPr>
          <a:spLocks noChangeShapeType="1"/>
        </xdr:cNvSpPr>
      </xdr:nvSpPr>
      <xdr:spPr bwMode="auto">
        <a:xfrm flipH="1">
          <a:off x="3779520" y="7056120"/>
          <a:ext cx="350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</xdr:colOff>
      <xdr:row>21</xdr:row>
      <xdr:rowOff>236220</xdr:rowOff>
    </xdr:from>
    <xdr:to>
      <xdr:col>7</xdr:col>
      <xdr:colOff>0</xdr:colOff>
      <xdr:row>24</xdr:row>
      <xdr:rowOff>152400</xdr:rowOff>
    </xdr:to>
    <xdr:sp macro="" textlink="">
      <xdr:nvSpPr>
        <xdr:cNvPr id="31694" name="Freeform 62"/>
        <xdr:cNvSpPr>
          <a:spLocks/>
        </xdr:cNvSpPr>
      </xdr:nvSpPr>
      <xdr:spPr bwMode="auto">
        <a:xfrm>
          <a:off x="1729740" y="6202680"/>
          <a:ext cx="5082540" cy="830580"/>
        </a:xfrm>
        <a:custGeom>
          <a:avLst/>
          <a:gdLst>
            <a:gd name="T0" fmla="*/ 0 w 471"/>
            <a:gd name="T1" fmla="*/ 0 h 87"/>
            <a:gd name="T2" fmla="*/ 2147483647 w 471"/>
            <a:gd name="T3" fmla="*/ 2147483647 h 87"/>
            <a:gd name="T4" fmla="*/ 2147483647 w 471"/>
            <a:gd name="T5" fmla="*/ 2147483647 h 87"/>
            <a:gd name="T6" fmla="*/ 2147483647 w 471"/>
            <a:gd name="T7" fmla="*/ 2147483647 h 87"/>
            <a:gd name="T8" fmla="*/ 2147483647 w 471"/>
            <a:gd name="T9" fmla="*/ 2147483647 h 87"/>
            <a:gd name="T10" fmla="*/ 2147483647 w 471"/>
            <a:gd name="T11" fmla="*/ 2147483647 h 8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471"/>
            <a:gd name="T19" fmla="*/ 0 h 87"/>
            <a:gd name="T20" fmla="*/ 471 w 471"/>
            <a:gd name="T21" fmla="*/ 87 h 8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471" h="87">
              <a:moveTo>
                <a:pt x="0" y="0"/>
              </a:moveTo>
              <a:lnTo>
                <a:pt x="272" y="2"/>
              </a:lnTo>
              <a:lnTo>
                <a:pt x="272" y="31"/>
              </a:lnTo>
              <a:lnTo>
                <a:pt x="441" y="31"/>
              </a:lnTo>
              <a:lnTo>
                <a:pt x="441" y="87"/>
              </a:lnTo>
              <a:lnTo>
                <a:pt x="471" y="87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7620</xdr:colOff>
      <xdr:row>21</xdr:row>
      <xdr:rowOff>144780</xdr:rowOff>
    </xdr:from>
    <xdr:to>
      <xdr:col>4</xdr:col>
      <xdr:colOff>1135380</xdr:colOff>
      <xdr:row>24</xdr:row>
      <xdr:rowOff>137160</xdr:rowOff>
    </xdr:to>
    <xdr:sp macro="" textlink="">
      <xdr:nvSpPr>
        <xdr:cNvPr id="31695" name="Freeform 63"/>
        <xdr:cNvSpPr>
          <a:spLocks/>
        </xdr:cNvSpPr>
      </xdr:nvSpPr>
      <xdr:spPr bwMode="auto">
        <a:xfrm>
          <a:off x="1714500" y="6111240"/>
          <a:ext cx="3055620" cy="906780"/>
        </a:xfrm>
        <a:custGeom>
          <a:avLst/>
          <a:gdLst>
            <a:gd name="T0" fmla="*/ 0 w 295"/>
            <a:gd name="T1" fmla="*/ 0 h 95"/>
            <a:gd name="T2" fmla="*/ 2147483647 w 295"/>
            <a:gd name="T3" fmla="*/ 0 h 95"/>
            <a:gd name="T4" fmla="*/ 2147483647 w 295"/>
            <a:gd name="T5" fmla="*/ 2147483647 h 95"/>
            <a:gd name="T6" fmla="*/ 2147483647 w 295"/>
            <a:gd name="T7" fmla="*/ 2147483647 h 95"/>
            <a:gd name="T8" fmla="*/ 0 60000 65536"/>
            <a:gd name="T9" fmla="*/ 0 60000 65536"/>
            <a:gd name="T10" fmla="*/ 0 60000 65536"/>
            <a:gd name="T11" fmla="*/ 0 60000 65536"/>
            <a:gd name="T12" fmla="*/ 0 w 295"/>
            <a:gd name="T13" fmla="*/ 0 h 95"/>
            <a:gd name="T14" fmla="*/ 295 w 295"/>
            <a:gd name="T15" fmla="*/ 95 h 95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95" h="95">
              <a:moveTo>
                <a:pt x="0" y="0"/>
              </a:moveTo>
              <a:lnTo>
                <a:pt x="254" y="0"/>
              </a:lnTo>
              <a:lnTo>
                <a:pt x="254" y="95"/>
              </a:lnTo>
              <a:lnTo>
                <a:pt x="295" y="95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60960</xdr:rowOff>
    </xdr:from>
    <xdr:to>
      <xdr:col>4</xdr:col>
      <xdr:colOff>1150620</xdr:colOff>
      <xdr:row>25</xdr:row>
      <xdr:rowOff>152400</xdr:rowOff>
    </xdr:to>
    <xdr:sp macro="" textlink="">
      <xdr:nvSpPr>
        <xdr:cNvPr id="31696" name="Freeform 64"/>
        <xdr:cNvSpPr>
          <a:spLocks/>
        </xdr:cNvSpPr>
      </xdr:nvSpPr>
      <xdr:spPr bwMode="auto">
        <a:xfrm>
          <a:off x="3749040" y="4503420"/>
          <a:ext cx="1021080" cy="2834640"/>
        </a:xfrm>
        <a:custGeom>
          <a:avLst/>
          <a:gdLst>
            <a:gd name="T0" fmla="*/ 0 w 117"/>
            <a:gd name="T1" fmla="*/ 0 h 298"/>
            <a:gd name="T2" fmla="*/ 2147483647 w 117"/>
            <a:gd name="T3" fmla="*/ 0 h 298"/>
            <a:gd name="T4" fmla="*/ 2147483647 w 117"/>
            <a:gd name="T5" fmla="*/ 2147483647 h 298"/>
            <a:gd name="T6" fmla="*/ 2147483647 w 117"/>
            <a:gd name="T7" fmla="*/ 2147483647 h 298"/>
            <a:gd name="T8" fmla="*/ 0 60000 65536"/>
            <a:gd name="T9" fmla="*/ 0 60000 65536"/>
            <a:gd name="T10" fmla="*/ 0 60000 65536"/>
            <a:gd name="T11" fmla="*/ 0 60000 65536"/>
            <a:gd name="T12" fmla="*/ 0 w 117"/>
            <a:gd name="T13" fmla="*/ 0 h 298"/>
            <a:gd name="T14" fmla="*/ 117 w 117"/>
            <a:gd name="T15" fmla="*/ 298 h 298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7" h="298">
              <a:moveTo>
                <a:pt x="0" y="0"/>
              </a:moveTo>
              <a:lnTo>
                <a:pt x="60" y="0"/>
              </a:lnTo>
              <a:lnTo>
                <a:pt x="61" y="298"/>
              </a:lnTo>
              <a:lnTo>
                <a:pt x="117" y="298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281940</xdr:colOff>
      <xdr:row>16</xdr:row>
      <xdr:rowOff>45720</xdr:rowOff>
    </xdr:from>
    <xdr:to>
      <xdr:col>7</xdr:col>
      <xdr:colOff>0</xdr:colOff>
      <xdr:row>25</xdr:row>
      <xdr:rowOff>175260</xdr:rowOff>
    </xdr:to>
    <xdr:sp macro="" textlink="">
      <xdr:nvSpPr>
        <xdr:cNvPr id="31697" name="Freeform 65"/>
        <xdr:cNvSpPr>
          <a:spLocks/>
        </xdr:cNvSpPr>
      </xdr:nvSpPr>
      <xdr:spPr bwMode="auto">
        <a:xfrm>
          <a:off x="6073140" y="4488180"/>
          <a:ext cx="739140" cy="2872740"/>
        </a:xfrm>
        <a:custGeom>
          <a:avLst/>
          <a:gdLst>
            <a:gd name="T0" fmla="*/ 2147483647 w 42"/>
            <a:gd name="T1" fmla="*/ 0 h 301"/>
            <a:gd name="T2" fmla="*/ 0 w 42"/>
            <a:gd name="T3" fmla="*/ 0 h 301"/>
            <a:gd name="T4" fmla="*/ 0 w 42"/>
            <a:gd name="T5" fmla="*/ 2147483647 h 301"/>
            <a:gd name="T6" fmla="*/ 2147483647 w 42"/>
            <a:gd name="T7" fmla="*/ 2147483647 h 301"/>
            <a:gd name="T8" fmla="*/ 0 60000 65536"/>
            <a:gd name="T9" fmla="*/ 0 60000 65536"/>
            <a:gd name="T10" fmla="*/ 0 60000 65536"/>
            <a:gd name="T11" fmla="*/ 0 60000 65536"/>
            <a:gd name="T12" fmla="*/ 0 w 42"/>
            <a:gd name="T13" fmla="*/ 0 h 301"/>
            <a:gd name="T14" fmla="*/ 42 w 42"/>
            <a:gd name="T15" fmla="*/ 301 h 301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2" h="301">
              <a:moveTo>
                <a:pt x="40" y="0"/>
              </a:moveTo>
              <a:lnTo>
                <a:pt x="0" y="0"/>
              </a:lnTo>
              <a:lnTo>
                <a:pt x="0" y="301"/>
              </a:lnTo>
              <a:lnTo>
                <a:pt x="42" y="301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683895</xdr:colOff>
      <xdr:row>30</xdr:row>
      <xdr:rowOff>295275</xdr:rowOff>
    </xdr:from>
    <xdr:to>
      <xdr:col>1</xdr:col>
      <xdr:colOff>501015</xdr:colOff>
      <xdr:row>32</xdr:row>
      <xdr:rowOff>161925</xdr:rowOff>
    </xdr:to>
    <xdr:sp macro="" textlink="">
      <xdr:nvSpPr>
        <xdr:cNvPr id="51" name="Text Box 66"/>
        <xdr:cNvSpPr txBox="1">
          <a:spLocks noChangeArrowheads="1"/>
        </xdr:cNvSpPr>
      </xdr:nvSpPr>
      <xdr:spPr bwMode="auto">
        <a:xfrm>
          <a:off x="676275" y="9039225"/>
          <a:ext cx="495300" cy="4762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72000" rIns="90000" bIns="4680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  <a:r>
            <a:rPr lang="fr-FR" sz="1400" b="1" i="0" strike="noStrike" baseline="30000">
              <a:solidFill>
                <a:srgbClr val="000000"/>
              </a:solidFill>
              <a:latin typeface="Times New Roman"/>
              <a:cs typeface="Times New Roman"/>
            </a:rPr>
            <a:t>er</a:t>
          </a:r>
        </a:p>
      </xdr:txBody>
    </xdr:sp>
    <xdr:clientData/>
  </xdr:twoCellAnchor>
  <xdr:twoCellAnchor>
    <xdr:from>
      <xdr:col>1</xdr:col>
      <xdr:colOff>501015</xdr:colOff>
      <xdr:row>30</xdr:row>
      <xdr:rowOff>295275</xdr:rowOff>
    </xdr:from>
    <xdr:to>
      <xdr:col>1</xdr:col>
      <xdr:colOff>994380</xdr:colOff>
      <xdr:row>32</xdr:row>
      <xdr:rowOff>161925</xdr:rowOff>
    </xdr:to>
    <xdr:sp macro="" textlink="">
      <xdr:nvSpPr>
        <xdr:cNvPr id="52" name="Text Box 67"/>
        <xdr:cNvSpPr txBox="1">
          <a:spLocks noChangeArrowheads="1"/>
        </xdr:cNvSpPr>
      </xdr:nvSpPr>
      <xdr:spPr bwMode="auto">
        <a:xfrm>
          <a:off x="1171575" y="9039225"/>
          <a:ext cx="485775" cy="4762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72000" rIns="90000" bIns="4680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fr-FR" sz="1100" b="1" i="0" strike="noStrike" baseline="30000">
              <a:solidFill>
                <a:srgbClr val="000000"/>
              </a:solidFill>
              <a:latin typeface="Times New Roman"/>
              <a:cs typeface="Times New Roman"/>
            </a:rPr>
            <a:t>ème</a:t>
          </a:r>
        </a:p>
      </xdr:txBody>
    </xdr:sp>
    <xdr:clientData/>
  </xdr:twoCellAnchor>
  <xdr:twoCellAnchor>
    <xdr:from>
      <xdr:col>1</xdr:col>
      <xdr:colOff>167640</xdr:colOff>
      <xdr:row>30</xdr:row>
      <xdr:rowOff>7620</xdr:rowOff>
    </xdr:from>
    <xdr:to>
      <xdr:col>1</xdr:col>
      <xdr:colOff>464820</xdr:colOff>
      <xdr:row>30</xdr:row>
      <xdr:rowOff>281940</xdr:rowOff>
    </xdr:to>
    <xdr:sp macro="" textlink="">
      <xdr:nvSpPr>
        <xdr:cNvPr id="31700" name="Line 69"/>
        <xdr:cNvSpPr>
          <a:spLocks noChangeShapeType="1"/>
        </xdr:cNvSpPr>
      </xdr:nvSpPr>
      <xdr:spPr bwMode="auto">
        <a:xfrm flipH="1">
          <a:off x="853440" y="8717280"/>
          <a:ext cx="297180" cy="2743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640080</xdr:colOff>
      <xdr:row>30</xdr:row>
      <xdr:rowOff>22860</xdr:rowOff>
    </xdr:from>
    <xdr:to>
      <xdr:col>1</xdr:col>
      <xdr:colOff>754380</xdr:colOff>
      <xdr:row>30</xdr:row>
      <xdr:rowOff>281940</xdr:rowOff>
    </xdr:to>
    <xdr:sp macro="" textlink="">
      <xdr:nvSpPr>
        <xdr:cNvPr id="31701" name="Line 70"/>
        <xdr:cNvSpPr>
          <a:spLocks noChangeShapeType="1"/>
        </xdr:cNvSpPr>
      </xdr:nvSpPr>
      <xdr:spPr bwMode="auto">
        <a:xfrm>
          <a:off x="1325880" y="8732520"/>
          <a:ext cx="114300" cy="2590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31</xdr:row>
      <xdr:rowOff>0</xdr:rowOff>
    </xdr:from>
    <xdr:to>
      <xdr:col>2</xdr:col>
      <xdr:colOff>520065</xdr:colOff>
      <xdr:row>32</xdr:row>
      <xdr:rowOff>171450</xdr:rowOff>
    </xdr:to>
    <xdr:sp macro="" textlink="">
      <xdr:nvSpPr>
        <xdr:cNvPr id="55" name="Text Box 72"/>
        <xdr:cNvSpPr txBox="1">
          <a:spLocks noChangeArrowheads="1"/>
        </xdr:cNvSpPr>
      </xdr:nvSpPr>
      <xdr:spPr bwMode="auto">
        <a:xfrm>
          <a:off x="1685925" y="9048750"/>
          <a:ext cx="495300" cy="4762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72000" rIns="90000" bIns="4680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3</a:t>
          </a:r>
          <a:r>
            <a:rPr lang="fr-FR" sz="1400" b="1" i="0" strike="noStrike" baseline="30000">
              <a:solidFill>
                <a:srgbClr val="000000"/>
              </a:solidFill>
              <a:latin typeface="Times New Roman"/>
              <a:cs typeface="Times New Roman"/>
            </a:rPr>
            <a:t>ème</a:t>
          </a:r>
        </a:p>
      </xdr:txBody>
    </xdr:sp>
    <xdr:clientData/>
  </xdr:twoCellAnchor>
  <xdr:twoCellAnchor>
    <xdr:from>
      <xdr:col>2</xdr:col>
      <xdr:colOff>520065</xdr:colOff>
      <xdr:row>31</xdr:row>
      <xdr:rowOff>0</xdr:rowOff>
    </xdr:from>
    <xdr:to>
      <xdr:col>3</xdr:col>
      <xdr:colOff>56</xdr:colOff>
      <xdr:row>32</xdr:row>
      <xdr:rowOff>171450</xdr:rowOff>
    </xdr:to>
    <xdr:sp macro="" textlink="">
      <xdr:nvSpPr>
        <xdr:cNvPr id="56" name="Text Box 73"/>
        <xdr:cNvSpPr txBox="1">
          <a:spLocks noChangeArrowheads="1"/>
        </xdr:cNvSpPr>
      </xdr:nvSpPr>
      <xdr:spPr bwMode="auto">
        <a:xfrm>
          <a:off x="2181225" y="9048750"/>
          <a:ext cx="485775" cy="4762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72000" rIns="90000" bIns="4680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4</a:t>
          </a:r>
          <a:r>
            <a:rPr lang="fr-FR" sz="1100" b="1" i="0" strike="noStrike" baseline="30000">
              <a:solidFill>
                <a:srgbClr val="000000"/>
              </a:solidFill>
              <a:latin typeface="Times New Roman"/>
              <a:cs typeface="Times New Roman"/>
            </a:rPr>
            <a:t>ème</a:t>
          </a:r>
        </a:p>
      </xdr:txBody>
    </xdr:sp>
    <xdr:clientData/>
  </xdr:twoCellAnchor>
  <xdr:twoCellAnchor>
    <xdr:from>
      <xdr:col>2</xdr:col>
      <xdr:colOff>182880</xdr:colOff>
      <xdr:row>30</xdr:row>
      <xdr:rowOff>22860</xdr:rowOff>
    </xdr:from>
    <xdr:to>
      <xdr:col>2</xdr:col>
      <xdr:colOff>480060</xdr:colOff>
      <xdr:row>30</xdr:row>
      <xdr:rowOff>297180</xdr:rowOff>
    </xdr:to>
    <xdr:sp macro="" textlink="">
      <xdr:nvSpPr>
        <xdr:cNvPr id="31704" name="Line 74"/>
        <xdr:cNvSpPr>
          <a:spLocks noChangeShapeType="1"/>
        </xdr:cNvSpPr>
      </xdr:nvSpPr>
      <xdr:spPr bwMode="auto">
        <a:xfrm flipH="1">
          <a:off x="1889760" y="8732520"/>
          <a:ext cx="297180" cy="2743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655320</xdr:colOff>
      <xdr:row>30</xdr:row>
      <xdr:rowOff>30480</xdr:rowOff>
    </xdr:from>
    <xdr:to>
      <xdr:col>2</xdr:col>
      <xdr:colOff>769620</xdr:colOff>
      <xdr:row>30</xdr:row>
      <xdr:rowOff>289560</xdr:rowOff>
    </xdr:to>
    <xdr:sp macro="" textlink="">
      <xdr:nvSpPr>
        <xdr:cNvPr id="31705" name="Line 75"/>
        <xdr:cNvSpPr>
          <a:spLocks noChangeShapeType="1"/>
        </xdr:cNvSpPr>
      </xdr:nvSpPr>
      <xdr:spPr bwMode="auto">
        <a:xfrm>
          <a:off x="2362200" y="8740140"/>
          <a:ext cx="114300" cy="2590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31</xdr:row>
      <xdr:rowOff>0</xdr:rowOff>
    </xdr:from>
    <xdr:to>
      <xdr:col>3</xdr:col>
      <xdr:colOff>520065</xdr:colOff>
      <xdr:row>32</xdr:row>
      <xdr:rowOff>171450</xdr:rowOff>
    </xdr:to>
    <xdr:sp macro="" textlink="">
      <xdr:nvSpPr>
        <xdr:cNvPr id="59" name="Text Box 77"/>
        <xdr:cNvSpPr txBox="1">
          <a:spLocks noChangeArrowheads="1"/>
        </xdr:cNvSpPr>
      </xdr:nvSpPr>
      <xdr:spPr bwMode="auto">
        <a:xfrm>
          <a:off x="2676525" y="9048750"/>
          <a:ext cx="495300" cy="4762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72000" rIns="90000" bIns="4680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5</a:t>
          </a:r>
          <a:r>
            <a:rPr lang="fr-FR" sz="1400" b="1" i="0" strike="noStrike" baseline="30000">
              <a:solidFill>
                <a:srgbClr val="000000"/>
              </a:solidFill>
              <a:latin typeface="Times New Roman"/>
              <a:cs typeface="Times New Roman"/>
            </a:rPr>
            <a:t>ème</a:t>
          </a:r>
        </a:p>
      </xdr:txBody>
    </xdr:sp>
    <xdr:clientData/>
  </xdr:twoCellAnchor>
  <xdr:twoCellAnchor>
    <xdr:from>
      <xdr:col>3</xdr:col>
      <xdr:colOff>520065</xdr:colOff>
      <xdr:row>31</xdr:row>
      <xdr:rowOff>0</xdr:rowOff>
    </xdr:from>
    <xdr:to>
      <xdr:col>4</xdr:col>
      <xdr:colOff>56</xdr:colOff>
      <xdr:row>32</xdr:row>
      <xdr:rowOff>171450</xdr:rowOff>
    </xdr:to>
    <xdr:sp macro="" textlink="">
      <xdr:nvSpPr>
        <xdr:cNvPr id="60" name="Text Box 78"/>
        <xdr:cNvSpPr txBox="1">
          <a:spLocks noChangeArrowheads="1"/>
        </xdr:cNvSpPr>
      </xdr:nvSpPr>
      <xdr:spPr bwMode="auto">
        <a:xfrm>
          <a:off x="3171825" y="9048750"/>
          <a:ext cx="485775" cy="4762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72000" rIns="90000" bIns="4680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6</a:t>
          </a:r>
          <a:r>
            <a:rPr lang="fr-FR" sz="1100" b="1" i="0" strike="noStrike" baseline="30000">
              <a:solidFill>
                <a:srgbClr val="000000"/>
              </a:solidFill>
              <a:latin typeface="Times New Roman"/>
              <a:cs typeface="Times New Roman"/>
            </a:rPr>
            <a:t>ème</a:t>
          </a:r>
        </a:p>
      </xdr:txBody>
    </xdr:sp>
    <xdr:clientData/>
  </xdr:twoCellAnchor>
  <xdr:twoCellAnchor>
    <xdr:from>
      <xdr:col>3</xdr:col>
      <xdr:colOff>182880</xdr:colOff>
      <xdr:row>30</xdr:row>
      <xdr:rowOff>22860</xdr:rowOff>
    </xdr:from>
    <xdr:to>
      <xdr:col>3</xdr:col>
      <xdr:colOff>480060</xdr:colOff>
      <xdr:row>30</xdr:row>
      <xdr:rowOff>297180</xdr:rowOff>
    </xdr:to>
    <xdr:sp macro="" textlink="">
      <xdr:nvSpPr>
        <xdr:cNvPr id="31708" name="Line 79"/>
        <xdr:cNvSpPr>
          <a:spLocks noChangeShapeType="1"/>
        </xdr:cNvSpPr>
      </xdr:nvSpPr>
      <xdr:spPr bwMode="auto">
        <a:xfrm flipH="1">
          <a:off x="2910840" y="8732520"/>
          <a:ext cx="297180" cy="2743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655320</xdr:colOff>
      <xdr:row>30</xdr:row>
      <xdr:rowOff>30480</xdr:rowOff>
    </xdr:from>
    <xdr:to>
      <xdr:col>3</xdr:col>
      <xdr:colOff>769620</xdr:colOff>
      <xdr:row>30</xdr:row>
      <xdr:rowOff>289560</xdr:rowOff>
    </xdr:to>
    <xdr:sp macro="" textlink="">
      <xdr:nvSpPr>
        <xdr:cNvPr id="31709" name="Line 80"/>
        <xdr:cNvSpPr>
          <a:spLocks noChangeShapeType="1"/>
        </xdr:cNvSpPr>
      </xdr:nvSpPr>
      <xdr:spPr bwMode="auto">
        <a:xfrm>
          <a:off x="3383280" y="8740140"/>
          <a:ext cx="114300" cy="2590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31</xdr:row>
      <xdr:rowOff>0</xdr:rowOff>
    </xdr:from>
    <xdr:to>
      <xdr:col>4</xdr:col>
      <xdr:colOff>520065</xdr:colOff>
      <xdr:row>32</xdr:row>
      <xdr:rowOff>171450</xdr:rowOff>
    </xdr:to>
    <xdr:sp macro="" textlink="">
      <xdr:nvSpPr>
        <xdr:cNvPr id="63" name="Text Box 82"/>
        <xdr:cNvSpPr txBox="1">
          <a:spLocks noChangeArrowheads="1"/>
        </xdr:cNvSpPr>
      </xdr:nvSpPr>
      <xdr:spPr bwMode="auto">
        <a:xfrm>
          <a:off x="3667125" y="9048750"/>
          <a:ext cx="495300" cy="4762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72000" rIns="90000" bIns="4680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7</a:t>
          </a:r>
          <a:r>
            <a:rPr lang="fr-FR" sz="1400" b="1" i="0" strike="noStrike" baseline="30000">
              <a:solidFill>
                <a:srgbClr val="000000"/>
              </a:solidFill>
              <a:latin typeface="Times New Roman"/>
              <a:cs typeface="Times New Roman"/>
            </a:rPr>
            <a:t>ème</a:t>
          </a:r>
        </a:p>
      </xdr:txBody>
    </xdr:sp>
    <xdr:clientData/>
  </xdr:twoCellAnchor>
  <xdr:twoCellAnchor>
    <xdr:from>
      <xdr:col>4</xdr:col>
      <xdr:colOff>520065</xdr:colOff>
      <xdr:row>31</xdr:row>
      <xdr:rowOff>0</xdr:rowOff>
    </xdr:from>
    <xdr:to>
      <xdr:col>5</xdr:col>
      <xdr:colOff>56</xdr:colOff>
      <xdr:row>32</xdr:row>
      <xdr:rowOff>171450</xdr:rowOff>
    </xdr:to>
    <xdr:sp macro="" textlink="">
      <xdr:nvSpPr>
        <xdr:cNvPr id="64" name="Text Box 83"/>
        <xdr:cNvSpPr txBox="1">
          <a:spLocks noChangeArrowheads="1"/>
        </xdr:cNvSpPr>
      </xdr:nvSpPr>
      <xdr:spPr bwMode="auto">
        <a:xfrm>
          <a:off x="4162425" y="9048750"/>
          <a:ext cx="485775" cy="4762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72000" rIns="90000" bIns="4680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8</a:t>
          </a:r>
          <a:r>
            <a:rPr lang="fr-FR" sz="1100" b="1" i="0" strike="noStrike" baseline="30000">
              <a:solidFill>
                <a:srgbClr val="000000"/>
              </a:solidFill>
              <a:latin typeface="Times New Roman"/>
              <a:cs typeface="Times New Roman"/>
            </a:rPr>
            <a:t>ème</a:t>
          </a:r>
        </a:p>
      </xdr:txBody>
    </xdr:sp>
    <xdr:clientData/>
  </xdr:twoCellAnchor>
  <xdr:twoCellAnchor>
    <xdr:from>
      <xdr:col>4</xdr:col>
      <xdr:colOff>182880</xdr:colOff>
      <xdr:row>30</xdr:row>
      <xdr:rowOff>22860</xdr:rowOff>
    </xdr:from>
    <xdr:to>
      <xdr:col>4</xdr:col>
      <xdr:colOff>480060</xdr:colOff>
      <xdr:row>30</xdr:row>
      <xdr:rowOff>297180</xdr:rowOff>
    </xdr:to>
    <xdr:sp macro="" textlink="">
      <xdr:nvSpPr>
        <xdr:cNvPr id="31712" name="Line 84"/>
        <xdr:cNvSpPr>
          <a:spLocks noChangeShapeType="1"/>
        </xdr:cNvSpPr>
      </xdr:nvSpPr>
      <xdr:spPr bwMode="auto">
        <a:xfrm flipH="1">
          <a:off x="3931920" y="8732520"/>
          <a:ext cx="297180" cy="2743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655320</xdr:colOff>
      <xdr:row>30</xdr:row>
      <xdr:rowOff>30480</xdr:rowOff>
    </xdr:from>
    <xdr:to>
      <xdr:col>4</xdr:col>
      <xdr:colOff>769620</xdr:colOff>
      <xdr:row>30</xdr:row>
      <xdr:rowOff>289560</xdr:rowOff>
    </xdr:to>
    <xdr:sp macro="" textlink="">
      <xdr:nvSpPr>
        <xdr:cNvPr id="31713" name="Line 85"/>
        <xdr:cNvSpPr>
          <a:spLocks noChangeShapeType="1"/>
        </xdr:cNvSpPr>
      </xdr:nvSpPr>
      <xdr:spPr bwMode="auto">
        <a:xfrm>
          <a:off x="4404360" y="8740140"/>
          <a:ext cx="114300" cy="2590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31</xdr:row>
      <xdr:rowOff>0</xdr:rowOff>
    </xdr:from>
    <xdr:to>
      <xdr:col>5</xdr:col>
      <xdr:colOff>510540</xdr:colOff>
      <xdr:row>32</xdr:row>
      <xdr:rowOff>171450</xdr:rowOff>
    </xdr:to>
    <xdr:sp macro="" textlink="">
      <xdr:nvSpPr>
        <xdr:cNvPr id="67" name="Text Box 92"/>
        <xdr:cNvSpPr txBox="1">
          <a:spLocks noChangeArrowheads="1"/>
        </xdr:cNvSpPr>
      </xdr:nvSpPr>
      <xdr:spPr bwMode="auto">
        <a:xfrm>
          <a:off x="4648200" y="9048750"/>
          <a:ext cx="495300" cy="4762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72000" rIns="90000" bIns="46800" anchor="t" upright="1"/>
        <a:lstStyle/>
        <a:p>
          <a:pPr algn="ctr" rtl="0">
            <a:defRPr sz="1000"/>
          </a:pPr>
          <a:r>
            <a:rPr lang="fr-F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9</a:t>
          </a:r>
          <a:r>
            <a:rPr lang="fr-FR" sz="1400" b="1" i="0" strike="noStrike" baseline="30000">
              <a:solidFill>
                <a:srgbClr val="000000"/>
              </a:solidFill>
              <a:latin typeface="Times New Roman"/>
              <a:cs typeface="Times New Roman"/>
            </a:rPr>
            <a:t>ème</a:t>
          </a:r>
        </a:p>
      </xdr:txBody>
    </xdr:sp>
    <xdr:clientData/>
  </xdr:twoCellAnchor>
  <xdr:twoCellAnchor>
    <xdr:from>
      <xdr:col>5</xdr:col>
      <xdr:colOff>510540</xdr:colOff>
      <xdr:row>31</xdr:row>
      <xdr:rowOff>0</xdr:rowOff>
    </xdr:from>
    <xdr:to>
      <xdr:col>5</xdr:col>
      <xdr:colOff>1011495</xdr:colOff>
      <xdr:row>32</xdr:row>
      <xdr:rowOff>171450</xdr:rowOff>
    </xdr:to>
    <xdr:sp macro="" textlink="">
      <xdr:nvSpPr>
        <xdr:cNvPr id="68" name="Text Box 93"/>
        <xdr:cNvSpPr txBox="1">
          <a:spLocks noChangeArrowheads="1"/>
        </xdr:cNvSpPr>
      </xdr:nvSpPr>
      <xdr:spPr bwMode="auto">
        <a:xfrm>
          <a:off x="5143500" y="9048750"/>
          <a:ext cx="485775" cy="4762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72000" rIns="90000" bIns="46800" anchor="t" upright="1"/>
        <a:lstStyle/>
        <a:p>
          <a:pPr algn="ctr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10</a:t>
          </a:r>
          <a:r>
            <a:rPr lang="fr-FR" sz="1100" b="1" i="0" strike="noStrike" baseline="30000">
              <a:solidFill>
                <a:srgbClr val="000000"/>
              </a:solidFill>
              <a:latin typeface="Times New Roman"/>
              <a:cs typeface="Times New Roman"/>
            </a:rPr>
            <a:t>ème</a:t>
          </a:r>
        </a:p>
      </xdr:txBody>
    </xdr:sp>
    <xdr:clientData/>
  </xdr:twoCellAnchor>
  <xdr:twoCellAnchor>
    <xdr:from>
      <xdr:col>5</xdr:col>
      <xdr:colOff>175260</xdr:colOff>
      <xdr:row>30</xdr:row>
      <xdr:rowOff>22860</xdr:rowOff>
    </xdr:from>
    <xdr:to>
      <xdr:col>5</xdr:col>
      <xdr:colOff>472440</xdr:colOff>
      <xdr:row>30</xdr:row>
      <xdr:rowOff>297180</xdr:rowOff>
    </xdr:to>
    <xdr:sp macro="" textlink="">
      <xdr:nvSpPr>
        <xdr:cNvPr id="31716" name="Line 94"/>
        <xdr:cNvSpPr>
          <a:spLocks noChangeShapeType="1"/>
        </xdr:cNvSpPr>
      </xdr:nvSpPr>
      <xdr:spPr bwMode="auto">
        <a:xfrm flipH="1">
          <a:off x="4945380" y="8732520"/>
          <a:ext cx="297180" cy="2743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647700</xdr:colOff>
      <xdr:row>30</xdr:row>
      <xdr:rowOff>30480</xdr:rowOff>
    </xdr:from>
    <xdr:to>
      <xdr:col>5</xdr:col>
      <xdr:colOff>762000</xdr:colOff>
      <xdr:row>30</xdr:row>
      <xdr:rowOff>289560</xdr:rowOff>
    </xdr:to>
    <xdr:sp macro="" textlink="">
      <xdr:nvSpPr>
        <xdr:cNvPr id="31717" name="Line 95"/>
        <xdr:cNvSpPr>
          <a:spLocks noChangeShapeType="1"/>
        </xdr:cNvSpPr>
      </xdr:nvSpPr>
      <xdr:spPr bwMode="auto">
        <a:xfrm>
          <a:off x="5417820" y="8740140"/>
          <a:ext cx="114300" cy="2590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31</xdr:row>
      <xdr:rowOff>0</xdr:rowOff>
    </xdr:from>
    <xdr:to>
      <xdr:col>6</xdr:col>
      <xdr:colOff>520065</xdr:colOff>
      <xdr:row>32</xdr:row>
      <xdr:rowOff>171450</xdr:rowOff>
    </xdr:to>
    <xdr:sp macro="" textlink="">
      <xdr:nvSpPr>
        <xdr:cNvPr id="71" name="Text Box 97"/>
        <xdr:cNvSpPr txBox="1">
          <a:spLocks noChangeArrowheads="1"/>
        </xdr:cNvSpPr>
      </xdr:nvSpPr>
      <xdr:spPr bwMode="auto">
        <a:xfrm>
          <a:off x="5648325" y="9048750"/>
          <a:ext cx="495300" cy="4762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72000" rIns="90000" bIns="46800" anchor="t" upright="1"/>
        <a:lstStyle/>
        <a:p>
          <a:pPr algn="ctr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11</a:t>
          </a:r>
          <a:r>
            <a:rPr lang="fr-FR" sz="1100" b="1" i="0" strike="noStrike" baseline="30000">
              <a:solidFill>
                <a:srgbClr val="000000"/>
              </a:solidFill>
              <a:latin typeface="Times New Roman"/>
              <a:cs typeface="Times New Roman"/>
            </a:rPr>
            <a:t>ème</a:t>
          </a:r>
        </a:p>
      </xdr:txBody>
    </xdr:sp>
    <xdr:clientData/>
  </xdr:twoCellAnchor>
  <xdr:twoCellAnchor>
    <xdr:from>
      <xdr:col>6</xdr:col>
      <xdr:colOff>520065</xdr:colOff>
      <xdr:row>31</xdr:row>
      <xdr:rowOff>0</xdr:rowOff>
    </xdr:from>
    <xdr:to>
      <xdr:col>7</xdr:col>
      <xdr:colOff>56</xdr:colOff>
      <xdr:row>32</xdr:row>
      <xdr:rowOff>171450</xdr:rowOff>
    </xdr:to>
    <xdr:sp macro="" textlink="">
      <xdr:nvSpPr>
        <xdr:cNvPr id="72" name="Text Box 98"/>
        <xdr:cNvSpPr txBox="1">
          <a:spLocks noChangeArrowheads="1"/>
        </xdr:cNvSpPr>
      </xdr:nvSpPr>
      <xdr:spPr bwMode="auto">
        <a:xfrm>
          <a:off x="6143625" y="9048750"/>
          <a:ext cx="485775" cy="4762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72000" rIns="90000" bIns="46800" anchor="t" upright="1"/>
        <a:lstStyle/>
        <a:p>
          <a:pPr algn="ctr" rtl="0">
            <a:defRPr sz="1000"/>
          </a:pPr>
          <a:r>
            <a:rPr lang="fr-F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12</a:t>
          </a:r>
          <a:r>
            <a:rPr lang="fr-FR" sz="1100" b="1" i="0" strike="noStrike" baseline="30000">
              <a:solidFill>
                <a:srgbClr val="000000"/>
              </a:solidFill>
              <a:latin typeface="Times New Roman"/>
              <a:cs typeface="Times New Roman"/>
            </a:rPr>
            <a:t>ème</a:t>
          </a:r>
        </a:p>
      </xdr:txBody>
    </xdr:sp>
    <xdr:clientData/>
  </xdr:twoCellAnchor>
  <xdr:twoCellAnchor>
    <xdr:from>
      <xdr:col>6</xdr:col>
      <xdr:colOff>182880</xdr:colOff>
      <xdr:row>30</xdr:row>
      <xdr:rowOff>22860</xdr:rowOff>
    </xdr:from>
    <xdr:to>
      <xdr:col>6</xdr:col>
      <xdr:colOff>480060</xdr:colOff>
      <xdr:row>30</xdr:row>
      <xdr:rowOff>297180</xdr:rowOff>
    </xdr:to>
    <xdr:sp macro="" textlink="">
      <xdr:nvSpPr>
        <xdr:cNvPr id="31720" name="Line 99"/>
        <xdr:cNvSpPr>
          <a:spLocks noChangeShapeType="1"/>
        </xdr:cNvSpPr>
      </xdr:nvSpPr>
      <xdr:spPr bwMode="auto">
        <a:xfrm flipH="1">
          <a:off x="5974080" y="8732520"/>
          <a:ext cx="297180" cy="2743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655320</xdr:colOff>
      <xdr:row>30</xdr:row>
      <xdr:rowOff>30480</xdr:rowOff>
    </xdr:from>
    <xdr:to>
      <xdr:col>6</xdr:col>
      <xdr:colOff>769620</xdr:colOff>
      <xdr:row>30</xdr:row>
      <xdr:rowOff>289560</xdr:rowOff>
    </xdr:to>
    <xdr:sp macro="" textlink="">
      <xdr:nvSpPr>
        <xdr:cNvPr id="31721" name="Line 100"/>
        <xdr:cNvSpPr>
          <a:spLocks noChangeShapeType="1"/>
        </xdr:cNvSpPr>
      </xdr:nvSpPr>
      <xdr:spPr bwMode="auto">
        <a:xfrm>
          <a:off x="6446520" y="8740140"/>
          <a:ext cx="114300" cy="2590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990600</xdr:colOff>
      <xdr:row>13</xdr:row>
      <xdr:rowOff>175260</xdr:rowOff>
    </xdr:from>
    <xdr:to>
      <xdr:col>4</xdr:col>
      <xdr:colOff>1013460</xdr:colOff>
      <xdr:row>13</xdr:row>
      <xdr:rowOff>175260</xdr:rowOff>
    </xdr:to>
    <xdr:cxnSp macro="">
      <xdr:nvCxnSpPr>
        <xdr:cNvPr id="31722" name="Connecteur droit avec flèche 4"/>
        <xdr:cNvCxnSpPr>
          <a:cxnSpLocks noChangeShapeType="1"/>
        </xdr:cNvCxnSpPr>
      </xdr:nvCxnSpPr>
      <xdr:spPr bwMode="auto">
        <a:xfrm flipH="1" flipV="1">
          <a:off x="3718560" y="3703320"/>
          <a:ext cx="104394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22860</xdr:colOff>
      <xdr:row>13</xdr:row>
      <xdr:rowOff>175260</xdr:rowOff>
    </xdr:from>
    <xdr:to>
      <xdr:col>2</xdr:col>
      <xdr:colOff>205740</xdr:colOff>
      <xdr:row>13</xdr:row>
      <xdr:rowOff>182880</xdr:rowOff>
    </xdr:to>
    <xdr:cxnSp macro="">
      <xdr:nvCxnSpPr>
        <xdr:cNvPr id="31723" name="Connecteur droit 12"/>
        <xdr:cNvCxnSpPr>
          <a:cxnSpLocks noChangeShapeType="1"/>
        </xdr:cNvCxnSpPr>
      </xdr:nvCxnSpPr>
      <xdr:spPr bwMode="auto">
        <a:xfrm>
          <a:off x="1729740" y="3703320"/>
          <a:ext cx="182880" cy="762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213360</xdr:colOff>
      <xdr:row>13</xdr:row>
      <xdr:rowOff>182880</xdr:rowOff>
    </xdr:from>
    <xdr:to>
      <xdr:col>2</xdr:col>
      <xdr:colOff>213360</xdr:colOff>
      <xdr:row>17</xdr:row>
      <xdr:rowOff>198120</xdr:rowOff>
    </xdr:to>
    <xdr:cxnSp macro="">
      <xdr:nvCxnSpPr>
        <xdr:cNvPr id="31724" name="Connecteur droit 14"/>
        <xdr:cNvCxnSpPr>
          <a:cxnSpLocks noChangeShapeType="1"/>
        </xdr:cNvCxnSpPr>
      </xdr:nvCxnSpPr>
      <xdr:spPr bwMode="auto">
        <a:xfrm>
          <a:off x="1920240" y="3710940"/>
          <a:ext cx="0" cy="12344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213360</xdr:colOff>
      <xdr:row>17</xdr:row>
      <xdr:rowOff>213360</xdr:rowOff>
    </xdr:from>
    <xdr:to>
      <xdr:col>6</xdr:col>
      <xdr:colOff>685800</xdr:colOff>
      <xdr:row>17</xdr:row>
      <xdr:rowOff>213360</xdr:rowOff>
    </xdr:to>
    <xdr:cxnSp macro="">
      <xdr:nvCxnSpPr>
        <xdr:cNvPr id="31725" name="Connecteur droit 17"/>
        <xdr:cNvCxnSpPr>
          <a:cxnSpLocks noChangeShapeType="1"/>
        </xdr:cNvCxnSpPr>
      </xdr:nvCxnSpPr>
      <xdr:spPr bwMode="auto">
        <a:xfrm>
          <a:off x="1920240" y="4960620"/>
          <a:ext cx="455676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685800</xdr:colOff>
      <xdr:row>13</xdr:row>
      <xdr:rowOff>152400</xdr:rowOff>
    </xdr:from>
    <xdr:to>
      <xdr:col>6</xdr:col>
      <xdr:colOff>685800</xdr:colOff>
      <xdr:row>17</xdr:row>
      <xdr:rowOff>213360</xdr:rowOff>
    </xdr:to>
    <xdr:cxnSp macro="">
      <xdr:nvCxnSpPr>
        <xdr:cNvPr id="31726" name="Connecteur droit 20"/>
        <xdr:cNvCxnSpPr>
          <a:cxnSpLocks noChangeShapeType="1"/>
        </xdr:cNvCxnSpPr>
      </xdr:nvCxnSpPr>
      <xdr:spPr bwMode="auto">
        <a:xfrm flipV="1">
          <a:off x="6477000" y="3680460"/>
          <a:ext cx="0" cy="12801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685800</xdr:colOff>
      <xdr:row>13</xdr:row>
      <xdr:rowOff>152400</xdr:rowOff>
    </xdr:from>
    <xdr:to>
      <xdr:col>7</xdr:col>
      <xdr:colOff>45720</xdr:colOff>
      <xdr:row>13</xdr:row>
      <xdr:rowOff>152400</xdr:rowOff>
    </xdr:to>
    <xdr:cxnSp macro="">
      <xdr:nvCxnSpPr>
        <xdr:cNvPr id="31727" name="Connecteur droit avec flèche 22"/>
        <xdr:cNvCxnSpPr>
          <a:cxnSpLocks noChangeShapeType="1"/>
        </xdr:cNvCxnSpPr>
      </xdr:nvCxnSpPr>
      <xdr:spPr bwMode="auto">
        <a:xfrm>
          <a:off x="6477000" y="3680460"/>
          <a:ext cx="38100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4</xdr:col>
      <xdr:colOff>0</xdr:colOff>
      <xdr:row>2</xdr:row>
      <xdr:rowOff>403860</xdr:rowOff>
    </xdr:to>
    <xdr:pic>
      <xdr:nvPicPr>
        <xdr:cNvPr id="7381" name="Image 2" descr="logo-hokeysub-quadr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325374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7620</xdr:colOff>
      <xdr:row>3</xdr:row>
      <xdr:rowOff>76200</xdr:rowOff>
    </xdr:to>
    <xdr:pic>
      <xdr:nvPicPr>
        <xdr:cNvPr id="1253" name="Image 2" descr="logo-hokeysub-quadr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0332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68580</xdr:colOff>
          <xdr:row>8</xdr:row>
          <xdr:rowOff>160020</xdr:rowOff>
        </xdr:from>
        <xdr:to>
          <xdr:col>27</xdr:col>
          <xdr:colOff>579120</xdr:colOff>
          <xdr:row>11</xdr:row>
          <xdr:rowOff>68580</xdr:rowOff>
        </xdr:to>
        <xdr:sp macro="" textlink="">
          <xdr:nvSpPr>
            <xdr:cNvPr id="1095" name="Button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Calcul des buts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68580</xdr:rowOff>
    </xdr:from>
    <xdr:to>
      <xdr:col>1</xdr:col>
      <xdr:colOff>1295400</xdr:colOff>
      <xdr:row>1</xdr:row>
      <xdr:rowOff>1005840</xdr:rowOff>
    </xdr:to>
    <xdr:pic>
      <xdr:nvPicPr>
        <xdr:cNvPr id="11458" name="Image 2" descr="logo-hokeysub-quadr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68580"/>
          <a:ext cx="284988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716280</xdr:colOff>
      <xdr:row>6</xdr:row>
      <xdr:rowOff>129540</xdr:rowOff>
    </xdr:to>
    <xdr:pic>
      <xdr:nvPicPr>
        <xdr:cNvPr id="14519" name="Image 2" descr="logo-hokeysub-quadri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0"/>
          <a:ext cx="370332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inique\AppData\Local\Microsoft\Windows\Temporary%20Internet%20Files\Content.Outlook\3XQB5436\D1M2%208%20equip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ropri&#233;taire\Mes%20documents\HOCKEY\Championnats%202006\DIV%202%20Grand%20Couronne\D2M%202006%20jou&#233;%20%20-%20Grand%20Couronne%20-%20Grille%204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de renseignements compéti"/>
      <sheetName val="Organisation"/>
      <sheetName val="Grille"/>
      <sheetName val="poules"/>
      <sheetName val="Classement"/>
      <sheetName val="Arbitres"/>
      <sheetName val="calcul"/>
      <sheetName val="emmargement"/>
    </sheetNames>
    <sheetDataSet>
      <sheetData sheetId="0">
        <row r="4">
          <cell r="C4" t="str">
            <v>2010-2011</v>
          </cell>
        </row>
        <row r="5">
          <cell r="C5" t="str">
            <v>Division 1 Manche 2</v>
          </cell>
        </row>
        <row r="6">
          <cell r="C6" t="str">
            <v>05 &amp; 06 Mars 2011</v>
          </cell>
        </row>
        <row r="7">
          <cell r="C7" t="str">
            <v>HYERES</v>
          </cell>
        </row>
        <row r="9">
          <cell r="C9">
            <v>2.013888888888889E-2</v>
          </cell>
        </row>
        <row r="17">
          <cell r="B17" t="str">
            <v>LAGNY</v>
          </cell>
        </row>
        <row r="18">
          <cell r="B18" t="str">
            <v>NOGENT / SEINE</v>
          </cell>
        </row>
        <row r="19">
          <cell r="B19" t="str">
            <v>MOIRANS</v>
          </cell>
        </row>
        <row r="20">
          <cell r="B20" t="str">
            <v>LE CHESNAY</v>
          </cell>
        </row>
        <row r="21">
          <cell r="B21" t="str">
            <v>CLAMART</v>
          </cell>
        </row>
        <row r="22">
          <cell r="B22" t="str">
            <v>HYERES</v>
          </cell>
        </row>
        <row r="23">
          <cell r="B23" t="str">
            <v>REIMS GASM</v>
          </cell>
        </row>
        <row r="24">
          <cell r="B24" t="str">
            <v>PESSAC</v>
          </cell>
        </row>
      </sheetData>
      <sheetData sheetId="1" refreshError="1"/>
      <sheetData sheetId="2" refreshError="1"/>
      <sheetData sheetId="3">
        <row r="21">
          <cell r="C21" t="str">
            <v/>
          </cell>
          <cell r="G21" t="str">
            <v/>
          </cell>
          <cell r="P21" t="str">
            <v/>
          </cell>
          <cell r="X21" t="str">
            <v/>
          </cell>
        </row>
        <row r="22">
          <cell r="C22" t="str">
            <v/>
          </cell>
          <cell r="G22" t="str">
            <v/>
          </cell>
          <cell r="P22" t="str">
            <v/>
          </cell>
          <cell r="X22" t="str">
            <v/>
          </cell>
        </row>
        <row r="25">
          <cell r="C25" t="str">
            <v/>
          </cell>
          <cell r="H25" t="str">
            <v/>
          </cell>
          <cell r="Q25" t="str">
            <v/>
          </cell>
          <cell r="Z25" t="str">
            <v/>
          </cell>
        </row>
        <row r="26">
          <cell r="C26" t="str">
            <v/>
          </cell>
          <cell r="H26" t="str">
            <v/>
          </cell>
          <cell r="Q26" t="str">
            <v/>
          </cell>
          <cell r="Z26" t="str">
            <v/>
          </cell>
        </row>
        <row r="29">
          <cell r="C29" t="str">
            <v/>
          </cell>
          <cell r="H29" t="str">
            <v/>
          </cell>
          <cell r="Q29" t="str">
            <v/>
          </cell>
          <cell r="Z29" t="str">
            <v/>
          </cell>
        </row>
        <row r="30">
          <cell r="C30" t="str">
            <v/>
          </cell>
          <cell r="H30" t="str">
            <v/>
          </cell>
          <cell r="Q30" t="str">
            <v/>
          </cell>
          <cell r="Z30" t="str">
            <v/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e"/>
      <sheetName val="poules"/>
      <sheetName val="Classement"/>
      <sheetName val="Fair Play"/>
      <sheetName val="Arbitrage"/>
      <sheetName val="Durée"/>
      <sheetName val="Temporaire"/>
      <sheetName val="Mode d'emplo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trick" refreshedDate="41018.581134837965" createdVersion="1" refreshedVersion="4" recordCount="45" upgradeOnRefresh="1">
  <cacheSource type="worksheet">
    <worksheetSource ref="B39:F84" sheet="calcul"/>
  </cacheSource>
  <cacheFields count="5">
    <cacheField name="Equipes" numFmtId="0">
      <sharedItems containsBlank="1" containsMixedTypes="1" containsNumber="1" containsInteger="1" minValue="0" maxValue="0"/>
    </cacheField>
    <cacheField name="rep" numFmtId="0">
      <sharedItems containsBlank="1" count="25">
        <s v="A1"/>
        <s v="B2"/>
        <s v="C3"/>
        <s v="D4"/>
        <s v="A5"/>
        <s v="B6"/>
        <s v="C7"/>
        <s v="D8"/>
        <s v="A9"/>
        <s v="B10"/>
        <s v="C11"/>
        <s v="D12"/>
        <m/>
        <s v="1A"/>
        <s v="2A"/>
        <s v="1C"/>
        <s v="2C"/>
        <s v="2B"/>
        <s v="1B"/>
        <s v="2D"/>
        <s v="1D"/>
        <s v="3C"/>
        <s v="3A"/>
        <s v="3D"/>
        <s v="3B"/>
      </sharedItems>
    </cacheField>
    <cacheField name="d" numFmtId="0">
      <sharedItems containsNonDate="0" containsString="0" containsBlank="1"/>
    </cacheField>
    <cacheField name="Nb de buts marqués" numFmtId="0">
      <sharedItems containsBlank="1" containsMixedTypes="1" containsNumber="1" containsInteger="1" minValue="0" maxValue="16"/>
    </cacheField>
    <cacheField name="Nb de but encaissés" numFmtId="0">
      <sharedItems containsBlank="1" containsMixedTypes="1" containsNumber="1" containsInteger="1" minValue="0" maxValue="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atrick" refreshedDate="41018.58938229167" createdVersion="1" refreshedVersion="4" recordCount="57" upgradeOnRefresh="1">
  <cacheSource type="worksheet">
    <worksheetSource ref="B39:F96" sheet="calcul"/>
  </cacheSource>
  <cacheFields count="5">
    <cacheField name="Equipes" numFmtId="0">
      <sharedItems containsBlank="1" containsMixedTypes="1" containsNumber="1" containsInteger="1" minValue="0" maxValue="0"/>
    </cacheField>
    <cacheField name="rep" numFmtId="0">
      <sharedItems containsBlank="1" count="31">
        <s v="A1"/>
        <s v="B2"/>
        <s v="C3"/>
        <s v="D4"/>
        <s v="A5"/>
        <s v="B6"/>
        <s v="C7"/>
        <s v="D8"/>
        <s v="A9"/>
        <s v="B10"/>
        <s v="C11"/>
        <s v="D12"/>
        <m/>
        <s v="1A"/>
        <s v="2A"/>
        <s v="1C"/>
        <s v="2C"/>
        <s v="2B"/>
        <s v="1B"/>
        <s v="2D"/>
        <s v="1D"/>
        <s v="3C"/>
        <s v="3A"/>
        <s v="3D"/>
        <s v="3B"/>
        <s v="2X"/>
        <s v="3X"/>
        <s v="4X"/>
        <s v="4Y"/>
        <s v="3Y"/>
        <s v="2Y"/>
      </sharedItems>
    </cacheField>
    <cacheField name="d" numFmtId="0">
      <sharedItems containsNonDate="0" containsString="0" containsBlank="1"/>
    </cacheField>
    <cacheField name="Nb de buts marqués" numFmtId="0">
      <sharedItems containsBlank="1" containsMixedTypes="1" containsNumber="1" containsInteger="1" minValue="0" maxValue="16"/>
    </cacheField>
    <cacheField name="Nb de but encaissés" numFmtId="0">
      <sharedItems containsBlank="1" containsMixedTypes="1" containsNumber="1" containsInteger="1" minValue="0" maxValue="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patrick" refreshedDate="41018.591171412038" createdVersion="1" refreshedVersion="4" recordCount="62" upgradeOnRefresh="1">
  <cacheSource type="worksheet">
    <worksheetSource ref="B39:F101" sheet="calcul"/>
  </cacheSource>
  <cacheFields count="5">
    <cacheField name="Equipes" numFmtId="0">
      <sharedItems containsBlank="1" containsMixedTypes="1" containsNumber="1" containsInteger="1" minValue="0" maxValue="0"/>
    </cacheField>
    <cacheField name="rep" numFmtId="0">
      <sharedItems containsBlank="1" count="31">
        <s v="A1"/>
        <s v="B2"/>
        <s v="C3"/>
        <s v="D4"/>
        <s v="A5"/>
        <s v="B6"/>
        <s v="C7"/>
        <s v="D8"/>
        <s v="A9"/>
        <s v="B10"/>
        <s v="C11"/>
        <s v="D12"/>
        <m/>
        <s v="1A"/>
        <s v="2A"/>
        <s v="1C"/>
        <s v="2C"/>
        <s v="2B"/>
        <s v="1B"/>
        <s v="2D"/>
        <s v="1D"/>
        <s v="3C"/>
        <s v="3A"/>
        <s v="3D"/>
        <s v="3B"/>
        <s v="2X"/>
        <s v="3X"/>
        <s v="4X"/>
        <s v="4Y"/>
        <s v="3Y"/>
        <s v="2Y"/>
      </sharedItems>
    </cacheField>
    <cacheField name="d" numFmtId="0">
      <sharedItems containsNonDate="0" containsString="0" containsBlank="1"/>
    </cacheField>
    <cacheField name="Nb de buts marqués" numFmtId="0">
      <sharedItems containsBlank="1" containsMixedTypes="1" containsNumber="1" containsInteger="1" minValue="0" maxValue="16"/>
    </cacheField>
    <cacheField name="Nb de but encaissés" numFmtId="0">
      <sharedItems containsBlank="1" containsMixedTypes="1" containsNumber="1" containsInteger="1" minValue="0" maxValue="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patrick" refreshedDate="41018.596074421293" createdVersion="1" refreshedVersion="4" recordCount="24" upgradeOnRefresh="1">
  <cacheSource type="worksheet">
    <worksheetSource ref="B39:F63" sheet="calcul"/>
  </cacheSource>
  <cacheFields count="5">
    <cacheField name="Equipes" numFmtId="0">
      <sharedItems containsMixedTypes="1" containsNumber="1" containsInteger="1" minValue="0" maxValue="0"/>
    </cacheField>
    <cacheField name="rep" numFmtId="0">
      <sharedItems count="12">
        <s v="A1"/>
        <s v="B2"/>
        <s v="C3"/>
        <s v="D4"/>
        <s v="A5"/>
        <s v="B6"/>
        <s v="C7"/>
        <s v="D8"/>
        <s v="A9"/>
        <s v="B10"/>
        <s v="C11"/>
        <s v="D12"/>
      </sharedItems>
    </cacheField>
    <cacheField name="d" numFmtId="0">
      <sharedItems containsNonDate="0" containsString="0" containsBlank="1"/>
    </cacheField>
    <cacheField name="Nb de buts marqués" numFmtId="0">
      <sharedItems/>
    </cacheField>
    <cacheField name="Nb de but encaissé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s v="MOIRANS"/>
    <x v="0"/>
    <m/>
    <n v="9"/>
    <n v="0"/>
  </r>
  <r>
    <s v="FONTENAY"/>
    <x v="1"/>
    <m/>
    <n v="2"/>
    <n v="2"/>
  </r>
  <r>
    <s v="LAGNY 1"/>
    <x v="2"/>
    <m/>
    <n v="5"/>
    <n v="1"/>
  </r>
  <r>
    <s v="PONTOISE"/>
    <x v="3"/>
    <m/>
    <n v="2"/>
    <n v="2"/>
  </r>
  <r>
    <s v="PESSAC"/>
    <x v="4"/>
    <m/>
    <n v="10"/>
    <n v="0"/>
  </r>
  <r>
    <s v="LA GUERCHE"/>
    <x v="5"/>
    <m/>
    <n v="8"/>
    <n v="0"/>
  </r>
  <r>
    <s v="DINAN/COMBOURG"/>
    <x v="6"/>
    <m/>
    <n v="13"/>
    <n v="0"/>
  </r>
  <r>
    <s v="RABA"/>
    <x v="7"/>
    <m/>
    <s v=""/>
    <s v="f"/>
  </r>
  <r>
    <s v="LAGNY 2"/>
    <x v="8"/>
    <m/>
    <n v="0"/>
    <n v="12"/>
  </r>
  <r>
    <s v="LE CHESNAY"/>
    <x v="9"/>
    <m/>
    <n v="0"/>
    <n v="8"/>
  </r>
  <r>
    <s v="PERPIGNAN/PESSAC"/>
    <x v="10"/>
    <m/>
    <n v="0"/>
    <n v="16"/>
  </r>
  <r>
    <n v="0"/>
    <x v="11"/>
    <m/>
    <s v="f"/>
    <s v=""/>
  </r>
  <r>
    <s v="PESSAC"/>
    <x v="4"/>
    <m/>
    <n v="0"/>
    <n v="9"/>
  </r>
  <r>
    <s v="LA GUERCHE"/>
    <x v="5"/>
    <m/>
    <n v="2"/>
    <n v="2"/>
  </r>
  <r>
    <s v="DINAN/COMBOURG"/>
    <x v="6"/>
    <m/>
    <n v="1"/>
    <n v="5"/>
  </r>
  <r>
    <s v="RABA"/>
    <x v="7"/>
    <m/>
    <n v="2"/>
    <n v="2"/>
  </r>
  <r>
    <s v="LAGNY 2"/>
    <x v="8"/>
    <m/>
    <n v="0"/>
    <n v="10"/>
  </r>
  <r>
    <s v="LE CHESNAY"/>
    <x v="9"/>
    <m/>
    <n v="0"/>
    <n v="8"/>
  </r>
  <r>
    <s v="PERPIGNAN/PESSAC"/>
    <x v="10"/>
    <m/>
    <n v="0"/>
    <n v="13"/>
  </r>
  <r>
    <n v="0"/>
    <x v="11"/>
    <m/>
    <s v="f"/>
    <s v=""/>
  </r>
  <r>
    <s v="MOIRANS"/>
    <x v="0"/>
    <m/>
    <n v="12"/>
    <n v="0"/>
  </r>
  <r>
    <s v="FONTENAY"/>
    <x v="1"/>
    <m/>
    <n v="8"/>
    <n v="0"/>
  </r>
  <r>
    <s v="LAGNY 1"/>
    <x v="2"/>
    <m/>
    <n v="16"/>
    <n v="0"/>
  </r>
  <r>
    <s v="PONTOISE"/>
    <x v="3"/>
    <m/>
    <s v=""/>
    <s v="f"/>
  </r>
  <r>
    <m/>
    <x v="12"/>
    <m/>
    <m/>
    <m/>
  </r>
  <r>
    <s v="MOIRANS"/>
    <x v="13"/>
    <m/>
    <n v="7"/>
    <n v="1"/>
  </r>
  <r>
    <s v="PESSAC"/>
    <x v="14"/>
    <m/>
    <n v="3"/>
    <n v="1"/>
  </r>
  <r>
    <s v="LAGNY 1"/>
    <x v="15"/>
    <m/>
    <n v="8"/>
    <n v="1"/>
  </r>
  <r>
    <s v="DINAN/COMBOURG"/>
    <x v="16"/>
    <m/>
    <n v="7"/>
    <n v="0"/>
  </r>
  <r>
    <s v="FONTENAY"/>
    <x v="17"/>
    <m/>
    <n v="0"/>
    <n v="4"/>
  </r>
  <r>
    <s v="LA GUERCHE"/>
    <x v="18"/>
    <m/>
    <n v="3"/>
    <n v="2"/>
  </r>
  <r>
    <s v="PONTOISE"/>
    <x v="19"/>
    <m/>
    <n v="1"/>
    <n v="4"/>
  </r>
  <r>
    <s v="RABA"/>
    <x v="20"/>
    <m/>
    <n v="2"/>
    <n v="6"/>
  </r>
  <r>
    <s v="PERPIGNAN/PESSAC"/>
    <x v="21"/>
    <m/>
    <s v=""/>
    <s v="f"/>
  </r>
  <r>
    <s v="LAGNY 2"/>
    <x v="22"/>
    <m/>
    <n v="2"/>
    <n v="10"/>
  </r>
  <r>
    <s v="LA GUERCHE"/>
    <x v="18"/>
    <m/>
    <n v="1"/>
    <n v="7"/>
  </r>
  <r>
    <s v="FONTENAY"/>
    <x v="17"/>
    <m/>
    <n v="1"/>
    <n v="3"/>
  </r>
  <r>
    <s v="RABA"/>
    <x v="20"/>
    <m/>
    <n v="1"/>
    <n v="8"/>
  </r>
  <r>
    <s v="PONTOISE"/>
    <x v="19"/>
    <m/>
    <n v="0"/>
    <n v="7"/>
  </r>
  <r>
    <s v="MOIRANS"/>
    <x v="13"/>
    <m/>
    <n v="4"/>
    <n v="0"/>
  </r>
  <r>
    <s v="PESSAC"/>
    <x v="14"/>
    <m/>
    <n v="2"/>
    <n v="3"/>
  </r>
  <r>
    <s v="LAGNY 1"/>
    <x v="15"/>
    <m/>
    <n v="4"/>
    <n v="1"/>
  </r>
  <r>
    <s v="DINAN/COMBOURG"/>
    <x v="16"/>
    <m/>
    <n v="6"/>
    <n v="2"/>
  </r>
  <r>
    <n v="0"/>
    <x v="23"/>
    <m/>
    <s v="f"/>
    <s v=""/>
  </r>
  <r>
    <s v="LE CHESNAY"/>
    <x v="24"/>
    <m/>
    <n v="10"/>
    <n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">
  <r>
    <s v="MOIRANS"/>
    <x v="0"/>
    <m/>
    <n v="9"/>
    <n v="0"/>
  </r>
  <r>
    <s v="FONTENAY"/>
    <x v="1"/>
    <m/>
    <n v="2"/>
    <n v="2"/>
  </r>
  <r>
    <s v="LAGNY 1"/>
    <x v="2"/>
    <m/>
    <n v="5"/>
    <n v="1"/>
  </r>
  <r>
    <s v="PONTOISE"/>
    <x v="3"/>
    <m/>
    <n v="2"/>
    <n v="2"/>
  </r>
  <r>
    <s v="PESSAC"/>
    <x v="4"/>
    <m/>
    <n v="10"/>
    <n v="0"/>
  </r>
  <r>
    <s v="LA GUERCHE"/>
    <x v="5"/>
    <m/>
    <n v="8"/>
    <n v="0"/>
  </r>
  <r>
    <s v="DINAN/COMBOURG"/>
    <x v="6"/>
    <m/>
    <n v="13"/>
    <n v="0"/>
  </r>
  <r>
    <s v="RABA"/>
    <x v="7"/>
    <m/>
    <s v=""/>
    <s v="f"/>
  </r>
  <r>
    <s v="LAGNY 2"/>
    <x v="8"/>
    <m/>
    <n v="0"/>
    <n v="12"/>
  </r>
  <r>
    <s v="LE CHESNAY"/>
    <x v="9"/>
    <m/>
    <n v="0"/>
    <n v="8"/>
  </r>
  <r>
    <s v="PERPIGNAN/PESSAC"/>
    <x v="10"/>
    <m/>
    <n v="0"/>
    <n v="16"/>
  </r>
  <r>
    <n v="0"/>
    <x v="11"/>
    <m/>
    <s v="f"/>
    <s v=""/>
  </r>
  <r>
    <s v="PESSAC"/>
    <x v="4"/>
    <m/>
    <n v="0"/>
    <n v="9"/>
  </r>
  <r>
    <s v="LA GUERCHE"/>
    <x v="5"/>
    <m/>
    <n v="2"/>
    <n v="2"/>
  </r>
  <r>
    <s v="DINAN/COMBOURG"/>
    <x v="6"/>
    <m/>
    <n v="1"/>
    <n v="5"/>
  </r>
  <r>
    <s v="RABA"/>
    <x v="7"/>
    <m/>
    <n v="2"/>
    <n v="2"/>
  </r>
  <r>
    <s v="LAGNY 2"/>
    <x v="8"/>
    <m/>
    <n v="0"/>
    <n v="10"/>
  </r>
  <r>
    <s v="LE CHESNAY"/>
    <x v="9"/>
    <m/>
    <n v="0"/>
    <n v="8"/>
  </r>
  <r>
    <s v="PERPIGNAN/PESSAC"/>
    <x v="10"/>
    <m/>
    <n v="0"/>
    <n v="13"/>
  </r>
  <r>
    <n v="0"/>
    <x v="11"/>
    <m/>
    <s v="f"/>
    <s v=""/>
  </r>
  <r>
    <s v="MOIRANS"/>
    <x v="0"/>
    <m/>
    <n v="12"/>
    <n v="0"/>
  </r>
  <r>
    <s v="FONTENAY"/>
    <x v="1"/>
    <m/>
    <n v="8"/>
    <n v="0"/>
  </r>
  <r>
    <s v="LAGNY 1"/>
    <x v="2"/>
    <m/>
    <n v="16"/>
    <n v="0"/>
  </r>
  <r>
    <s v="PONTOISE"/>
    <x v="3"/>
    <m/>
    <s v=""/>
    <s v="f"/>
  </r>
  <r>
    <m/>
    <x v="12"/>
    <m/>
    <m/>
    <m/>
  </r>
  <r>
    <s v="MOIRANS"/>
    <x v="13"/>
    <m/>
    <n v="7"/>
    <n v="1"/>
  </r>
  <r>
    <s v="PESSAC"/>
    <x v="14"/>
    <m/>
    <n v="3"/>
    <n v="1"/>
  </r>
  <r>
    <s v="LAGNY 1"/>
    <x v="15"/>
    <m/>
    <n v="8"/>
    <n v="1"/>
  </r>
  <r>
    <s v="DINAN/COMBOURG"/>
    <x v="16"/>
    <m/>
    <n v="7"/>
    <n v="0"/>
  </r>
  <r>
    <s v="FONTENAY"/>
    <x v="17"/>
    <m/>
    <n v="0"/>
    <n v="4"/>
  </r>
  <r>
    <s v="LA GUERCHE"/>
    <x v="18"/>
    <m/>
    <n v="3"/>
    <n v="2"/>
  </r>
  <r>
    <s v="PONTOISE"/>
    <x v="19"/>
    <m/>
    <n v="1"/>
    <n v="4"/>
  </r>
  <r>
    <s v="RABA"/>
    <x v="20"/>
    <m/>
    <n v="2"/>
    <n v="6"/>
  </r>
  <r>
    <s v="PERPIGNAN/PESSAC"/>
    <x v="21"/>
    <m/>
    <s v=""/>
    <s v="f"/>
  </r>
  <r>
    <s v="LAGNY 2"/>
    <x v="22"/>
    <m/>
    <n v="2"/>
    <n v="10"/>
  </r>
  <r>
    <s v="LA GUERCHE"/>
    <x v="18"/>
    <m/>
    <n v="1"/>
    <n v="7"/>
  </r>
  <r>
    <s v="FONTENAY"/>
    <x v="17"/>
    <m/>
    <n v="1"/>
    <n v="3"/>
  </r>
  <r>
    <s v="RABA"/>
    <x v="20"/>
    <m/>
    <n v="1"/>
    <n v="8"/>
  </r>
  <r>
    <s v="PONTOISE"/>
    <x v="19"/>
    <m/>
    <n v="0"/>
    <n v="7"/>
  </r>
  <r>
    <s v="MOIRANS"/>
    <x v="13"/>
    <m/>
    <n v="4"/>
    <n v="0"/>
  </r>
  <r>
    <s v="PESSAC"/>
    <x v="14"/>
    <m/>
    <n v="2"/>
    <n v="3"/>
  </r>
  <r>
    <s v="LAGNY 1"/>
    <x v="15"/>
    <m/>
    <n v="4"/>
    <n v="1"/>
  </r>
  <r>
    <s v="DINAN/COMBOURG"/>
    <x v="16"/>
    <m/>
    <n v="6"/>
    <n v="2"/>
  </r>
  <r>
    <n v="0"/>
    <x v="23"/>
    <m/>
    <s v="f"/>
    <s v=""/>
  </r>
  <r>
    <s v="LE CHESNAY"/>
    <x v="24"/>
    <m/>
    <n v="10"/>
    <n v="2"/>
  </r>
  <r>
    <m/>
    <x v="12"/>
    <m/>
    <m/>
    <m/>
  </r>
  <r>
    <s v="LA GUERCHE"/>
    <x v="25"/>
    <m/>
    <n v="4"/>
    <n v="4"/>
  </r>
  <r>
    <s v="PESSAC"/>
    <x v="26"/>
    <m/>
    <n v="3"/>
    <n v="3"/>
  </r>
  <r>
    <s v="FONTENAY"/>
    <x v="27"/>
    <m/>
    <n v="16"/>
    <n v="0"/>
  </r>
  <r>
    <s v="RABA"/>
    <x v="28"/>
    <m/>
    <n v="11"/>
    <n v="1"/>
  </r>
  <r>
    <s v="PONTOISE"/>
    <x v="29"/>
    <m/>
    <n v="10"/>
    <n v="0"/>
  </r>
  <r>
    <s v="DINAN/COMBOURG"/>
    <x v="30"/>
    <m/>
    <n v="4"/>
    <n v="0"/>
  </r>
  <r>
    <n v="0"/>
    <x v="23"/>
    <m/>
    <s v=""/>
    <s v=""/>
  </r>
  <r>
    <s v="LE CHESNAY"/>
    <x v="24"/>
    <m/>
    <n v="0"/>
    <n v="12"/>
  </r>
  <r>
    <s v="DINAN/COMBOURG"/>
    <x v="30"/>
    <m/>
    <n v="4"/>
    <n v="4"/>
  </r>
  <r>
    <s v="PONTOISE"/>
    <x v="29"/>
    <m/>
    <n v="3"/>
    <n v="3"/>
  </r>
  <r>
    <s v="PERPIGNAN/PESSAC"/>
    <x v="21"/>
    <m/>
    <n v="0"/>
    <n v="1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62">
  <r>
    <s v="MOIRANS"/>
    <x v="0"/>
    <m/>
    <n v="9"/>
    <n v="0"/>
  </r>
  <r>
    <s v="FONTENAY"/>
    <x v="1"/>
    <m/>
    <n v="2"/>
    <n v="2"/>
  </r>
  <r>
    <s v="LAGNY 1"/>
    <x v="2"/>
    <m/>
    <n v="5"/>
    <n v="1"/>
  </r>
  <r>
    <s v="PONTOISE"/>
    <x v="3"/>
    <m/>
    <n v="2"/>
    <n v="2"/>
  </r>
  <r>
    <s v="PESSAC"/>
    <x v="4"/>
    <m/>
    <n v="10"/>
    <n v="0"/>
  </r>
  <r>
    <s v="LA GUERCHE"/>
    <x v="5"/>
    <m/>
    <n v="8"/>
    <n v="0"/>
  </r>
  <r>
    <s v="DINAN/COMBOURG"/>
    <x v="6"/>
    <m/>
    <n v="13"/>
    <n v="0"/>
  </r>
  <r>
    <s v="RABA"/>
    <x v="7"/>
    <m/>
    <s v=""/>
    <s v="f"/>
  </r>
  <r>
    <s v="LAGNY 2"/>
    <x v="8"/>
    <m/>
    <n v="0"/>
    <n v="12"/>
  </r>
  <r>
    <s v="LE CHESNAY"/>
    <x v="9"/>
    <m/>
    <n v="0"/>
    <n v="8"/>
  </r>
  <r>
    <s v="PERPIGNAN/PESSAC"/>
    <x v="10"/>
    <m/>
    <n v="0"/>
    <n v="16"/>
  </r>
  <r>
    <n v="0"/>
    <x v="11"/>
    <m/>
    <s v="f"/>
    <s v=""/>
  </r>
  <r>
    <s v="PESSAC"/>
    <x v="4"/>
    <m/>
    <n v="0"/>
    <n v="9"/>
  </r>
  <r>
    <s v="LA GUERCHE"/>
    <x v="5"/>
    <m/>
    <n v="2"/>
    <n v="2"/>
  </r>
  <r>
    <s v="DINAN/COMBOURG"/>
    <x v="6"/>
    <m/>
    <n v="1"/>
    <n v="5"/>
  </r>
  <r>
    <s v="RABA"/>
    <x v="7"/>
    <m/>
    <n v="2"/>
    <n v="2"/>
  </r>
  <r>
    <s v="LAGNY 2"/>
    <x v="8"/>
    <m/>
    <n v="0"/>
    <n v="10"/>
  </r>
  <r>
    <s v="LE CHESNAY"/>
    <x v="9"/>
    <m/>
    <n v="0"/>
    <n v="8"/>
  </r>
  <r>
    <s v="PERPIGNAN/PESSAC"/>
    <x v="10"/>
    <m/>
    <n v="0"/>
    <n v="13"/>
  </r>
  <r>
    <n v="0"/>
    <x v="11"/>
    <m/>
    <s v="f"/>
    <s v=""/>
  </r>
  <r>
    <s v="MOIRANS"/>
    <x v="0"/>
    <m/>
    <n v="12"/>
    <n v="0"/>
  </r>
  <r>
    <s v="FONTENAY"/>
    <x v="1"/>
    <m/>
    <n v="8"/>
    <n v="0"/>
  </r>
  <r>
    <s v="LAGNY 1"/>
    <x v="2"/>
    <m/>
    <n v="16"/>
    <n v="0"/>
  </r>
  <r>
    <s v="PONTOISE"/>
    <x v="3"/>
    <m/>
    <s v=""/>
    <s v="f"/>
  </r>
  <r>
    <m/>
    <x v="12"/>
    <m/>
    <m/>
    <m/>
  </r>
  <r>
    <s v="MOIRANS"/>
    <x v="13"/>
    <m/>
    <n v="7"/>
    <n v="1"/>
  </r>
  <r>
    <s v="PESSAC"/>
    <x v="14"/>
    <m/>
    <n v="3"/>
    <n v="1"/>
  </r>
  <r>
    <s v="LAGNY 1"/>
    <x v="15"/>
    <m/>
    <n v="8"/>
    <n v="1"/>
  </r>
  <r>
    <s v="DINAN/COMBOURG"/>
    <x v="16"/>
    <m/>
    <n v="7"/>
    <n v="0"/>
  </r>
  <r>
    <s v="FONTENAY"/>
    <x v="17"/>
    <m/>
    <n v="0"/>
    <n v="4"/>
  </r>
  <r>
    <s v="LA GUERCHE"/>
    <x v="18"/>
    <m/>
    <n v="3"/>
    <n v="2"/>
  </r>
  <r>
    <s v="PONTOISE"/>
    <x v="19"/>
    <m/>
    <n v="1"/>
    <n v="4"/>
  </r>
  <r>
    <s v="RABA"/>
    <x v="20"/>
    <m/>
    <n v="2"/>
    <n v="6"/>
  </r>
  <r>
    <s v="PERPIGNAN/PESSAC"/>
    <x v="21"/>
    <m/>
    <s v=""/>
    <s v="f"/>
  </r>
  <r>
    <s v="LAGNY 2"/>
    <x v="22"/>
    <m/>
    <n v="2"/>
    <n v="10"/>
  </r>
  <r>
    <s v="LA GUERCHE"/>
    <x v="18"/>
    <m/>
    <n v="1"/>
    <n v="7"/>
  </r>
  <r>
    <s v="FONTENAY"/>
    <x v="17"/>
    <m/>
    <n v="1"/>
    <n v="3"/>
  </r>
  <r>
    <s v="RABA"/>
    <x v="20"/>
    <m/>
    <n v="1"/>
    <n v="8"/>
  </r>
  <r>
    <s v="PONTOISE"/>
    <x v="19"/>
    <m/>
    <n v="0"/>
    <n v="7"/>
  </r>
  <r>
    <s v="MOIRANS"/>
    <x v="13"/>
    <m/>
    <n v="4"/>
    <n v="0"/>
  </r>
  <r>
    <s v="PESSAC"/>
    <x v="14"/>
    <m/>
    <n v="2"/>
    <n v="3"/>
  </r>
  <r>
    <s v="LAGNY 1"/>
    <x v="15"/>
    <m/>
    <n v="4"/>
    <n v="1"/>
  </r>
  <r>
    <s v="DINAN/COMBOURG"/>
    <x v="16"/>
    <m/>
    <n v="6"/>
    <n v="2"/>
  </r>
  <r>
    <n v="0"/>
    <x v="23"/>
    <m/>
    <s v="f"/>
    <s v=""/>
  </r>
  <r>
    <s v="LE CHESNAY"/>
    <x v="24"/>
    <m/>
    <n v="10"/>
    <n v="2"/>
  </r>
  <r>
    <m/>
    <x v="12"/>
    <m/>
    <m/>
    <m/>
  </r>
  <r>
    <s v="LA GUERCHE"/>
    <x v="25"/>
    <m/>
    <n v="4"/>
    <n v="4"/>
  </r>
  <r>
    <s v="PESSAC"/>
    <x v="26"/>
    <m/>
    <n v="3"/>
    <n v="3"/>
  </r>
  <r>
    <s v="FONTENAY"/>
    <x v="27"/>
    <m/>
    <n v="16"/>
    <n v="0"/>
  </r>
  <r>
    <s v="RABA"/>
    <x v="28"/>
    <m/>
    <n v="11"/>
    <n v="1"/>
  </r>
  <r>
    <s v="PONTOISE"/>
    <x v="29"/>
    <m/>
    <n v="10"/>
    <n v="0"/>
  </r>
  <r>
    <s v="DINAN/COMBOURG"/>
    <x v="30"/>
    <m/>
    <n v="4"/>
    <n v="0"/>
  </r>
  <r>
    <n v="0"/>
    <x v="23"/>
    <m/>
    <s v=""/>
    <s v=""/>
  </r>
  <r>
    <s v="LE CHESNAY"/>
    <x v="24"/>
    <m/>
    <n v="0"/>
    <n v="12"/>
  </r>
  <r>
    <s v="DINAN/COMBOURG"/>
    <x v="30"/>
    <m/>
    <n v="4"/>
    <n v="4"/>
  </r>
  <r>
    <s v="PONTOISE"/>
    <x v="29"/>
    <m/>
    <n v="3"/>
    <n v="3"/>
  </r>
  <r>
    <s v="PERPIGNAN/PESSAC"/>
    <x v="21"/>
    <m/>
    <n v="0"/>
    <n v="16"/>
  </r>
  <r>
    <s v="LAGNY 2"/>
    <x v="22"/>
    <m/>
    <n v="1"/>
    <n v="11"/>
  </r>
  <r>
    <s v="LA GUERCHE"/>
    <x v="25"/>
    <m/>
    <n v="0"/>
    <n v="10"/>
  </r>
  <r>
    <s v="PESSAC"/>
    <x v="26"/>
    <m/>
    <n v="0"/>
    <n v="4"/>
  </r>
  <r>
    <s v="FONTENAY"/>
    <x v="27"/>
    <m/>
    <s v=""/>
    <s v=""/>
  </r>
  <r>
    <s v="RABA"/>
    <x v="28"/>
    <m/>
    <n v="12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24">
  <r>
    <s v="MOIRANS"/>
    <x v="0"/>
    <m/>
    <s v=""/>
    <s v=""/>
  </r>
  <r>
    <s v="FONTENAY"/>
    <x v="1"/>
    <m/>
    <s v=""/>
    <s v=""/>
  </r>
  <r>
    <s v="LAGNY 1"/>
    <x v="2"/>
    <m/>
    <s v=""/>
    <s v=""/>
  </r>
  <r>
    <s v="PONTOISE"/>
    <x v="3"/>
    <m/>
    <s v=""/>
    <s v=""/>
  </r>
  <r>
    <s v="PESSAC"/>
    <x v="4"/>
    <m/>
    <s v=""/>
    <s v=""/>
  </r>
  <r>
    <s v="LA GUERCHE"/>
    <x v="5"/>
    <m/>
    <s v=""/>
    <s v=""/>
  </r>
  <r>
    <s v="DINAN/COMBOURG"/>
    <x v="6"/>
    <m/>
    <s v=""/>
    <s v=""/>
  </r>
  <r>
    <s v="RABA"/>
    <x v="7"/>
    <m/>
    <s v=""/>
    <s v=""/>
  </r>
  <r>
    <s v="LAGNY 2"/>
    <x v="8"/>
    <m/>
    <s v=""/>
    <s v=""/>
  </r>
  <r>
    <s v="LE CHESNAY"/>
    <x v="9"/>
    <m/>
    <s v=""/>
    <s v=""/>
  </r>
  <r>
    <s v="PERPIGNAN/PESSAC"/>
    <x v="10"/>
    <m/>
    <s v=""/>
    <s v=""/>
  </r>
  <r>
    <n v="0"/>
    <x v="11"/>
    <m/>
    <s v=""/>
    <s v=""/>
  </r>
  <r>
    <s v="PESSAC"/>
    <x v="4"/>
    <m/>
    <s v=""/>
    <s v=""/>
  </r>
  <r>
    <s v="LA GUERCHE"/>
    <x v="5"/>
    <m/>
    <s v=""/>
    <s v=""/>
  </r>
  <r>
    <s v="DINAN/COMBOURG"/>
    <x v="6"/>
    <m/>
    <s v=""/>
    <s v=""/>
  </r>
  <r>
    <s v="RABA"/>
    <x v="7"/>
    <m/>
    <s v=""/>
    <s v=""/>
  </r>
  <r>
    <s v="LAGNY 2"/>
    <x v="8"/>
    <m/>
    <s v=""/>
    <s v=""/>
  </r>
  <r>
    <s v="LE CHESNAY"/>
    <x v="9"/>
    <m/>
    <s v=""/>
    <s v=""/>
  </r>
  <r>
    <s v="PERPIGNAN/PESSAC"/>
    <x v="10"/>
    <m/>
    <s v=""/>
    <s v=""/>
  </r>
  <r>
    <n v="0"/>
    <x v="11"/>
    <m/>
    <s v=""/>
    <s v=""/>
  </r>
  <r>
    <s v="MOIRANS"/>
    <x v="0"/>
    <m/>
    <s v=""/>
    <s v=""/>
  </r>
  <r>
    <s v="FONTENAY"/>
    <x v="1"/>
    <m/>
    <s v=""/>
    <s v=""/>
  </r>
  <r>
    <s v="LAGNY 1"/>
    <x v="2"/>
    <m/>
    <s v=""/>
    <s v=""/>
  </r>
  <r>
    <s v="PONTOISE"/>
    <x v="3"/>
    <m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eau croisé dynamique5" cacheId="6" applyNumberFormats="0" applyBorderFormats="0" applyFontFormats="0" applyPatternFormats="0" applyAlignmentFormats="0" applyWidthHeightFormats="1" dataCaption="Données" updatedVersion="4" showMemberPropertyTips="0" useAutoFormatting="1" itemPrintTitles="1" createdVersion="1" indent="0" compact="0" compactData="0" gridDropZones="1">
  <location ref="J91:L97" firstHeaderRow="1" firstDataRow="2" firstDataCol="1"/>
  <pivotFields count="5">
    <pivotField compact="0" outline="0" subtotalTop="0" showAll="0" includeNewItemsInFilter="1"/>
    <pivotField axis="axisRow" compact="0" outline="0" subtotalTop="0" showAll="0" includeNewItemsInFilter="1">
      <items count="32">
        <item h="1" x="0"/>
        <item h="1" x="4"/>
        <item h="1" x="8"/>
        <item h="1" x="1"/>
        <item h="1" x="5"/>
        <item h="1" x="9"/>
        <item h="1" x="2"/>
        <item h="1" x="6"/>
        <item h="1" x="10"/>
        <item h="1" x="3"/>
        <item h="1" x="7"/>
        <item h="1" x="11"/>
        <item h="1" x="13"/>
        <item h="1" x="14"/>
        <item h="1" x="15"/>
        <item h="1" x="16"/>
        <item h="1" x="18"/>
        <item h="1" x="17"/>
        <item h="1" x="20"/>
        <item h="1" x="19"/>
        <item h="1" x="21"/>
        <item x="22"/>
        <item h="1" x="25"/>
        <item h="1" x="26"/>
        <item h="1" x="27"/>
        <item h="1" x="23"/>
        <item x="24"/>
        <item h="1" x="30"/>
        <item h="1" x="29"/>
        <item x="28"/>
        <item x="12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1"/>
  </rowFields>
  <rowItems count="5">
    <i>
      <x v="21"/>
    </i>
    <i>
      <x v="26"/>
    </i>
    <i>
      <x v="29"/>
    </i>
    <i>
      <x v="30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Nb de but encaissés" fld="4" baseField="0" baseItem="0"/>
    <dataField name="Somme de Nb de buts marqués" fld="3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4" cacheId="5" applyNumberFormats="0" applyBorderFormats="0" applyFontFormats="0" applyPatternFormats="0" applyAlignmentFormats="0" applyWidthHeightFormats="1" dataCaption="Données" updatedVersion="4" showMemberPropertyTips="0" useAutoFormatting="1" itemPrintTitles="1" createdVersion="1" indent="0" compact="0" compactData="0" gridDropZones="1">
  <location ref="J81:L87" firstHeaderRow="1" firstDataRow="2" firstDataCol="1"/>
  <pivotFields count="5">
    <pivotField compact="0" outline="0" subtotalTop="0" showAll="0" includeNewItemsInFilter="1"/>
    <pivotField axis="axisRow" compact="0" outline="0" subtotalTop="0" showAll="0" includeNewItemsInFilter="1">
      <items count="32">
        <item h="1" x="0"/>
        <item h="1" x="4"/>
        <item h="1" x="8"/>
        <item h="1" x="1"/>
        <item h="1" x="5"/>
        <item h="1" x="9"/>
        <item h="1" x="2"/>
        <item h="1" x="6"/>
        <item h="1" x="10"/>
        <item h="1" x="3"/>
        <item h="1" x="7"/>
        <item h="1" x="11"/>
        <item h="1" x="13"/>
        <item h="1" x="14"/>
        <item h="1" x="15"/>
        <item h="1" x="16"/>
        <item h="1" x="18"/>
        <item h="1" x="17"/>
        <item h="1" x="20"/>
        <item h="1" x="19"/>
        <item x="21"/>
        <item h="1" x="22"/>
        <item h="1" x="25"/>
        <item h="1" x="26"/>
        <item x="27"/>
        <item x="23"/>
        <item h="1" x="24"/>
        <item h="1" x="30"/>
        <item h="1" x="29"/>
        <item h="1" x="28"/>
        <item x="12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1"/>
  </rowFields>
  <rowItems count="5">
    <i>
      <x v="20"/>
    </i>
    <i>
      <x v="24"/>
    </i>
    <i>
      <x v="25"/>
    </i>
    <i>
      <x v="30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Nb de but encaissés" fld="4" baseField="0" baseItem="0"/>
    <dataField name="Somme de Nb de buts marqués" fld="3" baseField="0" baseItem="0"/>
  </dataField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eau croisé dynamique3" cacheId="4" applyNumberFormats="0" applyBorderFormats="0" applyFontFormats="0" applyPatternFormats="0" applyAlignmentFormats="0" applyWidthHeightFormats="1" dataCaption="Données" updatedVersion="4" showMemberPropertyTips="0" useAutoFormatting="1" itemPrintTitles="1" createdVersion="1" indent="0" compact="0" compactData="0" gridDropZones="1">
  <location ref="J71:L78" firstHeaderRow="1" firstDataRow="2" firstDataCol="1"/>
  <pivotFields count="5">
    <pivotField compact="0" outline="0" subtotalTop="0" showAll="0" includeNewItemsInFilter="1"/>
    <pivotField axis="axisRow" compact="0" outline="0" subtotalTop="0" showAll="0" includeNewItemsInFilter="1">
      <items count="26">
        <item h="1" x="0"/>
        <item h="1" x="4"/>
        <item h="1" x="8"/>
        <item h="1" x="1"/>
        <item h="1" x="5"/>
        <item h="1" x="9"/>
        <item h="1" x="2"/>
        <item h="1" x="6"/>
        <item h="1" x="10"/>
        <item h="1" x="3"/>
        <item h="1" x="7"/>
        <item h="1" x="11"/>
        <item h="1" x="13"/>
        <item h="1" x="14"/>
        <item x="15"/>
        <item x="16"/>
        <item h="1" x="18"/>
        <item h="1" x="17"/>
        <item x="20"/>
        <item x="19"/>
        <item h="1" x="21"/>
        <item h="1" x="22"/>
        <item h="1" x="23"/>
        <item h="1" x="24"/>
        <item x="12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1"/>
  </rowFields>
  <rowItems count="6">
    <i>
      <x v="14"/>
    </i>
    <i>
      <x v="15"/>
    </i>
    <i>
      <x v="18"/>
    </i>
    <i>
      <x v="19"/>
    </i>
    <i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Nb de but encaissés" fld="4" baseField="0" baseItem="0"/>
    <dataField name="Somme de Nb de buts marqués" fld="3" baseField="0" baseItem="0"/>
  </dataField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eau croisé dynamique2" cacheId="4" applyNumberFormats="0" applyBorderFormats="0" applyFontFormats="0" applyPatternFormats="0" applyAlignmentFormats="0" applyWidthHeightFormats="1" dataCaption="Données" updatedVersion="4" showMemberPropertyTips="0" useAutoFormatting="1" itemPrintTitles="1" createdVersion="1" indent="0" compact="0" compactData="0" gridDropZones="1">
  <location ref="J60:L67" firstHeaderRow="1" firstDataRow="2" firstDataCol="1"/>
  <pivotFields count="5">
    <pivotField compact="0" outline="0" subtotalTop="0" showAll="0" includeNewItemsInFilter="1"/>
    <pivotField axis="axisRow" compact="0" outline="0" subtotalTop="0" showAll="0" includeNewItemsInFilter="1">
      <items count="26">
        <item h="1" x="0"/>
        <item h="1" x="4"/>
        <item h="1" x="8"/>
        <item h="1" x="1"/>
        <item h="1" x="5"/>
        <item h="1" x="9"/>
        <item h="1" x="2"/>
        <item h="1" x="6"/>
        <item h="1" x="10"/>
        <item h="1" x="3"/>
        <item h="1" x="7"/>
        <item h="1" x="11"/>
        <item x="13"/>
        <item x="14"/>
        <item h="1" x="15"/>
        <item h="1" x="16"/>
        <item x="18"/>
        <item x="17"/>
        <item h="1" x="19"/>
        <item h="1" x="20"/>
        <item h="1" x="21"/>
        <item h="1" x="22"/>
        <item h="1" x="23"/>
        <item h="1" x="24"/>
        <item x="12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1"/>
  </rowFields>
  <rowItems count="6">
    <i>
      <x v="12"/>
    </i>
    <i>
      <x v="13"/>
    </i>
    <i>
      <x v="16"/>
    </i>
    <i>
      <x v="17"/>
    </i>
    <i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Nb de but encaissés" fld="4" baseField="0" baseItem="0"/>
    <dataField name="Somme de Nb de buts marqués" fld="3" baseField="0" baseItem="0"/>
  </dataField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eau croisé dynamique1" cacheId="7" applyNumberFormats="0" applyBorderFormats="0" applyFontFormats="0" applyPatternFormats="0" applyAlignmentFormats="0" applyWidthHeightFormats="1" dataCaption="Données" updatedVersion="4" showMemberPropertyTips="0" useAutoFormatting="1" itemPrintTitles="1" createdVersion="1" indent="0" compact="0" compactData="0" gridDropZones="1">
  <location ref="J41:L55" firstHeaderRow="1" firstDataRow="2" firstDataCol="1"/>
  <pivotFields count="5">
    <pivotField compact="0" outline="0" subtotalTop="0" showAll="0" includeNewItemsInFilter="1"/>
    <pivotField axis="axisRow" compact="0" outline="0" subtotalTop="0" showAll="0" includeNewItemsInFilter="1">
      <items count="13">
        <item x="0"/>
        <item x="4"/>
        <item x="8"/>
        <item x="1"/>
        <item x="5"/>
        <item x="9"/>
        <item x="2"/>
        <item x="6"/>
        <item x="10"/>
        <item x="3"/>
        <item x="7"/>
        <item x="11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Nb de but encaissés" fld="4" baseField="0" baseItem="0"/>
    <dataField name="Somme de Nb de buts marqués" fld="3" baseField="0" baseItem="0"/>
  </dataFields>
  <pivotTableStyleInfo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eau croisé dynamique6" cacheId="6" applyNumberFormats="0" applyBorderFormats="0" applyFontFormats="0" applyPatternFormats="0" applyAlignmentFormats="0" applyWidthHeightFormats="1" dataCaption="Données" updatedVersion="4" showMemberPropertyTips="0" useAutoFormatting="1" itemPrintTitles="1" createdVersion="1" indent="0" compact="0" compactData="0" gridDropZones="1">
  <location ref="J102:L109" firstHeaderRow="1" firstDataRow="2" firstDataCol="1"/>
  <pivotFields count="5">
    <pivotField compact="0" outline="0" subtotalTop="0" showAll="0" includeNewItemsInFilter="1"/>
    <pivotField axis="axisRow" compact="0" outline="0" subtotalTop="0" showAll="0" includeNewItemsInFilter="1">
      <items count="32">
        <item h="1" x="0"/>
        <item h="1" x="4"/>
        <item h="1" x="8"/>
        <item h="1" x="1"/>
        <item h="1" x="5"/>
        <item h="1" x="9"/>
        <item h="1" x="2"/>
        <item h="1" x="6"/>
        <item h="1" x="10"/>
        <item h="1" x="3"/>
        <item h="1" x="7"/>
        <item h="1" x="11"/>
        <item h="1" x="13"/>
        <item h="1" x="14"/>
        <item h="1" x="15"/>
        <item h="1" x="16"/>
        <item h="1" x="18"/>
        <item h="1" x="17"/>
        <item h="1" x="20"/>
        <item h="1" x="19"/>
        <item h="1" x="21"/>
        <item h="1" x="22"/>
        <item x="25"/>
        <item x="26"/>
        <item h="1" x="27"/>
        <item h="1" x="23"/>
        <item h="1" x="24"/>
        <item x="30"/>
        <item x="29"/>
        <item h="1" x="28"/>
        <item x="12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1"/>
  </rowFields>
  <rowItems count="6">
    <i>
      <x v="22"/>
    </i>
    <i>
      <x v="23"/>
    </i>
    <i>
      <x v="27"/>
    </i>
    <i>
      <x v="28"/>
    </i>
    <i>
      <x v="30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Nb de but encaissés" fld="4" baseField="0" baseItem="0"/>
    <dataField name="Somme de Nb de buts marqués" fld="3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FF0000"/>
  </sheetPr>
  <dimension ref="A2:C38"/>
  <sheetViews>
    <sheetView tabSelected="1" topLeftCell="A23" workbookViewId="0">
      <selection activeCell="B32" sqref="B32"/>
    </sheetView>
  </sheetViews>
  <sheetFormatPr baseColWidth="10" defaultColWidth="11.44140625" defaultRowHeight="13.2" x14ac:dyDescent="0.25"/>
  <cols>
    <col min="1" max="1" width="11.44140625" style="91"/>
    <col min="2" max="2" width="42.5546875" style="84" customWidth="1"/>
    <col min="3" max="3" width="38.109375" style="84" customWidth="1"/>
    <col min="4" max="16384" width="11.44140625" style="84"/>
  </cols>
  <sheetData>
    <row r="2" spans="1:3" x14ac:dyDescent="0.25">
      <c r="A2" s="82"/>
      <c r="B2" s="83"/>
    </row>
    <row r="3" spans="1:3" x14ac:dyDescent="0.25">
      <c r="A3" s="82"/>
      <c r="B3" s="83"/>
    </row>
    <row r="4" spans="1:3" ht="18.75" customHeight="1" x14ac:dyDescent="0.3">
      <c r="A4" s="85">
        <v>1</v>
      </c>
      <c r="B4" s="86" t="s">
        <v>113</v>
      </c>
      <c r="C4" s="92" t="s">
        <v>213</v>
      </c>
    </row>
    <row r="5" spans="1:3" ht="15.6" x14ac:dyDescent="0.3">
      <c r="A5" s="85">
        <v>2</v>
      </c>
      <c r="B5" s="86" t="s">
        <v>114</v>
      </c>
      <c r="C5" s="92" t="s">
        <v>214</v>
      </c>
    </row>
    <row r="6" spans="1:3" ht="15.6" x14ac:dyDescent="0.3">
      <c r="A6" s="85">
        <v>3</v>
      </c>
      <c r="B6" s="86" t="s">
        <v>115</v>
      </c>
      <c r="C6" s="92" t="s">
        <v>215</v>
      </c>
    </row>
    <row r="7" spans="1:3" ht="15.6" x14ac:dyDescent="0.3">
      <c r="A7" s="85">
        <v>4</v>
      </c>
      <c r="B7" s="86" t="s">
        <v>116</v>
      </c>
      <c r="C7" s="92" t="s">
        <v>216</v>
      </c>
    </row>
    <row r="8" spans="1:3" ht="46.8" x14ac:dyDescent="0.3">
      <c r="A8" s="85">
        <v>5</v>
      </c>
      <c r="B8" s="86" t="s">
        <v>117</v>
      </c>
      <c r="C8" s="92" t="s">
        <v>125</v>
      </c>
    </row>
    <row r="9" spans="1:3" ht="31.2" x14ac:dyDescent="0.3">
      <c r="A9" s="85">
        <v>6</v>
      </c>
      <c r="B9" s="86" t="s">
        <v>118</v>
      </c>
      <c r="C9" s="93">
        <v>1.8749999999999999E-2</v>
      </c>
    </row>
    <row r="10" spans="1:3" ht="15.6" x14ac:dyDescent="0.3">
      <c r="A10" s="85"/>
      <c r="B10" s="86"/>
      <c r="C10" s="92"/>
    </row>
    <row r="11" spans="1:3" ht="15.6" x14ac:dyDescent="0.3">
      <c r="A11" s="85"/>
      <c r="B11" s="86"/>
      <c r="C11" s="92"/>
    </row>
    <row r="12" spans="1:3" ht="15.6" x14ac:dyDescent="0.3">
      <c r="A12" s="87"/>
      <c r="B12" s="88"/>
    </row>
    <row r="13" spans="1:3" ht="15.6" x14ac:dyDescent="0.3">
      <c r="A13" s="87"/>
      <c r="B13" s="88"/>
    </row>
    <row r="14" spans="1:3" ht="15.6" x14ac:dyDescent="0.3">
      <c r="A14" s="87"/>
      <c r="B14" s="88"/>
    </row>
    <row r="15" spans="1:3" ht="15.6" x14ac:dyDescent="0.3">
      <c r="A15" s="87"/>
      <c r="B15" s="88"/>
    </row>
    <row r="16" spans="1:3" ht="23.25" customHeight="1" x14ac:dyDescent="0.3">
      <c r="A16" s="234" t="s">
        <v>144</v>
      </c>
      <c r="B16" s="234"/>
    </row>
    <row r="17" spans="1:3" ht="15.6" x14ac:dyDescent="0.3">
      <c r="A17" s="87"/>
      <c r="B17" s="88"/>
      <c r="C17" s="232" t="s">
        <v>199</v>
      </c>
    </row>
    <row r="18" spans="1:3" ht="15.6" x14ac:dyDescent="0.3">
      <c r="A18" s="89" t="s">
        <v>145</v>
      </c>
      <c r="B18" s="90"/>
      <c r="C18" s="232" t="s">
        <v>212</v>
      </c>
    </row>
    <row r="19" spans="1:3" x14ac:dyDescent="0.25">
      <c r="A19" s="91" t="s">
        <v>7</v>
      </c>
      <c r="B19" s="146" t="s">
        <v>217</v>
      </c>
      <c r="C19" s="232" t="s">
        <v>200</v>
      </c>
    </row>
    <row r="20" spans="1:3" x14ac:dyDescent="0.25">
      <c r="A20" s="91" t="s">
        <v>8</v>
      </c>
      <c r="B20" s="146" t="s">
        <v>221</v>
      </c>
      <c r="C20" s="232" t="s">
        <v>204</v>
      </c>
    </row>
    <row r="21" spans="1:3" x14ac:dyDescent="0.25">
      <c r="A21" s="91" t="s">
        <v>15</v>
      </c>
      <c r="B21" s="146" t="s">
        <v>219</v>
      </c>
      <c r="C21" s="232" t="s">
        <v>211</v>
      </c>
    </row>
    <row r="22" spans="1:3" x14ac:dyDescent="0.25">
      <c r="C22" s="232"/>
    </row>
    <row r="23" spans="1:3" ht="15.6" x14ac:dyDescent="0.3">
      <c r="A23" s="89" t="s">
        <v>146</v>
      </c>
      <c r="C23" s="232"/>
    </row>
    <row r="24" spans="1:3" x14ac:dyDescent="0.25">
      <c r="A24" s="91" t="s">
        <v>9</v>
      </c>
      <c r="B24" s="146" t="s">
        <v>220</v>
      </c>
      <c r="C24" s="232" t="s">
        <v>201</v>
      </c>
    </row>
    <row r="25" spans="1:3" x14ac:dyDescent="0.25">
      <c r="A25" s="91" t="s">
        <v>12</v>
      </c>
      <c r="B25" s="146" t="s">
        <v>224</v>
      </c>
      <c r="C25" s="232" t="s">
        <v>205</v>
      </c>
    </row>
    <row r="26" spans="1:3" x14ac:dyDescent="0.25">
      <c r="A26" s="91" t="s">
        <v>16</v>
      </c>
      <c r="B26" s="146" t="s">
        <v>218</v>
      </c>
      <c r="C26" s="232" t="s">
        <v>210</v>
      </c>
    </row>
    <row r="27" spans="1:3" x14ac:dyDescent="0.25">
      <c r="C27" s="232"/>
    </row>
    <row r="28" spans="1:3" x14ac:dyDescent="0.25">
      <c r="C28" s="232"/>
    </row>
    <row r="29" spans="1:3" ht="15.6" x14ac:dyDescent="0.3">
      <c r="A29" s="89" t="s">
        <v>147</v>
      </c>
      <c r="C29" s="232"/>
    </row>
    <row r="30" spans="1:3" x14ac:dyDescent="0.25">
      <c r="A30" s="91" t="s">
        <v>10</v>
      </c>
      <c r="B30" s="146" t="s">
        <v>223</v>
      </c>
      <c r="C30" s="232" t="s">
        <v>202</v>
      </c>
    </row>
    <row r="31" spans="1:3" x14ac:dyDescent="0.25">
      <c r="A31" s="91" t="s">
        <v>13</v>
      </c>
      <c r="B31" s="146" t="s">
        <v>227</v>
      </c>
      <c r="C31" s="232" t="s">
        <v>206</v>
      </c>
    </row>
    <row r="32" spans="1:3" x14ac:dyDescent="0.25">
      <c r="A32" s="91" t="s">
        <v>17</v>
      </c>
      <c r="B32" s="146" t="s">
        <v>228</v>
      </c>
      <c r="C32" s="232" t="s">
        <v>209</v>
      </c>
    </row>
    <row r="33" spans="1:3" x14ac:dyDescent="0.25">
      <c r="C33" s="232"/>
    </row>
    <row r="34" spans="1:3" x14ac:dyDescent="0.25">
      <c r="C34" s="232"/>
    </row>
    <row r="35" spans="1:3" ht="15.6" x14ac:dyDescent="0.3">
      <c r="A35" s="89" t="s">
        <v>148</v>
      </c>
      <c r="C35" s="232"/>
    </row>
    <row r="36" spans="1:3" x14ac:dyDescent="0.25">
      <c r="A36" s="91" t="s">
        <v>11</v>
      </c>
      <c r="B36" s="146" t="s">
        <v>225</v>
      </c>
      <c r="C36" s="232" t="s">
        <v>203</v>
      </c>
    </row>
    <row r="37" spans="1:3" x14ac:dyDescent="0.25">
      <c r="A37" s="91" t="s">
        <v>14</v>
      </c>
      <c r="B37" s="146" t="s">
        <v>226</v>
      </c>
      <c r="C37" s="232" t="s">
        <v>207</v>
      </c>
    </row>
    <row r="38" spans="1:3" x14ac:dyDescent="0.25">
      <c r="A38" s="91" t="s">
        <v>18</v>
      </c>
      <c r="B38" s="146" t="s">
        <v>222</v>
      </c>
      <c r="C38" s="232" t="s">
        <v>208</v>
      </c>
    </row>
  </sheetData>
  <mergeCells count="1">
    <mergeCell ref="A16:B16"/>
  </mergeCells>
  <phoneticPr fontId="2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H39"/>
  <sheetViews>
    <sheetView showGridLines="0" workbookViewId="0">
      <selection activeCell="N11" sqref="N11"/>
    </sheetView>
  </sheetViews>
  <sheetFormatPr baseColWidth="10" defaultColWidth="11.44140625" defaultRowHeight="15.6" x14ac:dyDescent="0.25"/>
  <cols>
    <col min="1" max="1" width="10" style="56" customWidth="1"/>
    <col min="2" max="8" width="14.88671875" style="56" customWidth="1"/>
    <col min="9" max="9" width="5.5546875" style="56" customWidth="1"/>
    <col min="10" max="16384" width="11.44140625" style="56"/>
  </cols>
  <sheetData>
    <row r="1" spans="2:8" ht="16.8" thickTop="1" thickBot="1" x14ac:dyDescent="0.3">
      <c r="B1" s="55" t="s">
        <v>85</v>
      </c>
      <c r="D1" s="55" t="s">
        <v>86</v>
      </c>
      <c r="F1" s="55" t="s">
        <v>87</v>
      </c>
      <c r="H1" s="55" t="s">
        <v>88</v>
      </c>
    </row>
    <row r="2" spans="2:8" ht="24.75" customHeight="1" thickTop="1" x14ac:dyDescent="0.25">
      <c r="B2" s="57" t="s">
        <v>7</v>
      </c>
      <c r="D2" s="57" t="s">
        <v>9</v>
      </c>
      <c r="F2" s="57" t="s">
        <v>10</v>
      </c>
      <c r="H2" s="57" t="s">
        <v>11</v>
      </c>
    </row>
    <row r="3" spans="2:8" ht="24.75" customHeight="1" x14ac:dyDescent="0.25">
      <c r="B3" s="58" t="s">
        <v>8</v>
      </c>
      <c r="D3" s="58" t="s">
        <v>12</v>
      </c>
      <c r="F3" s="58" t="s">
        <v>13</v>
      </c>
      <c r="H3" s="58" t="s">
        <v>14</v>
      </c>
    </row>
    <row r="4" spans="2:8" ht="24.75" customHeight="1" thickBot="1" x14ac:dyDescent="0.3">
      <c r="B4" s="59" t="s">
        <v>15</v>
      </c>
      <c r="D4" s="59" t="s">
        <v>16</v>
      </c>
      <c r="F4" s="59" t="s">
        <v>17</v>
      </c>
      <c r="H4" s="59" t="s">
        <v>18</v>
      </c>
    </row>
    <row r="5" spans="2:8" ht="24.75" customHeight="1" thickTop="1" thickBot="1" x14ac:dyDescent="0.3">
      <c r="B5" s="60" t="s">
        <v>89</v>
      </c>
      <c r="D5" s="60" t="s">
        <v>90</v>
      </c>
      <c r="F5" s="60" t="s">
        <v>91</v>
      </c>
      <c r="H5" s="60" t="s">
        <v>92</v>
      </c>
    </row>
    <row r="6" spans="2:8" ht="16.2" thickTop="1" x14ac:dyDescent="0.25"/>
    <row r="8" spans="2:8" ht="16.2" thickBot="1" x14ac:dyDescent="0.3"/>
    <row r="9" spans="2:8" ht="16.8" thickTop="1" thickBot="1" x14ac:dyDescent="0.3">
      <c r="B9" s="61" t="s">
        <v>93</v>
      </c>
      <c r="F9" s="61" t="s">
        <v>94</v>
      </c>
    </row>
    <row r="10" spans="2:8" ht="24.75" customHeight="1" thickTop="1" x14ac:dyDescent="0.25">
      <c r="B10" s="62" t="s">
        <v>19</v>
      </c>
      <c r="F10" s="62" t="s">
        <v>21</v>
      </c>
    </row>
    <row r="11" spans="2:8" ht="24.75" customHeight="1" x14ac:dyDescent="0.25">
      <c r="B11" s="63" t="s">
        <v>20</v>
      </c>
      <c r="F11" s="63" t="s">
        <v>22</v>
      </c>
    </row>
    <row r="12" spans="2:8" ht="24.75" customHeight="1" thickBot="1" x14ac:dyDescent="0.3">
      <c r="B12" s="64" t="s">
        <v>24</v>
      </c>
      <c r="F12" s="64" t="s">
        <v>26</v>
      </c>
    </row>
    <row r="13" spans="2:8" ht="24" customHeight="1" thickTop="1" thickBot="1" x14ac:dyDescent="0.3">
      <c r="B13" s="65" t="s">
        <v>23</v>
      </c>
      <c r="D13" s="66" t="s">
        <v>95</v>
      </c>
      <c r="F13" s="65" t="s">
        <v>25</v>
      </c>
      <c r="H13" s="66" t="s">
        <v>96</v>
      </c>
    </row>
    <row r="14" spans="2:8" ht="24" customHeight="1" thickTop="1" thickBot="1" x14ac:dyDescent="0.3">
      <c r="B14" s="67" t="s">
        <v>97</v>
      </c>
      <c r="D14" s="68" t="s">
        <v>34</v>
      </c>
      <c r="F14" s="67" t="s">
        <v>98</v>
      </c>
      <c r="H14" s="68" t="s">
        <v>33</v>
      </c>
    </row>
    <row r="15" spans="2:8" ht="24" customHeight="1" thickTop="1" x14ac:dyDescent="0.25">
      <c r="D15" s="69" t="s">
        <v>29</v>
      </c>
      <c r="H15" s="69" t="s">
        <v>27</v>
      </c>
    </row>
    <row r="16" spans="2:8" ht="24" customHeight="1" thickBot="1" x14ac:dyDescent="0.3">
      <c r="D16" s="70" t="s">
        <v>30</v>
      </c>
      <c r="H16" s="70" t="s">
        <v>28</v>
      </c>
    </row>
    <row r="17" spans="1:8" ht="24" customHeight="1" thickTop="1" thickBot="1" x14ac:dyDescent="0.3">
      <c r="B17" s="66" t="s">
        <v>99</v>
      </c>
      <c r="D17" s="71" t="s">
        <v>100</v>
      </c>
      <c r="H17" s="71" t="s">
        <v>101</v>
      </c>
    </row>
    <row r="18" spans="1:8" ht="24" customHeight="1" thickTop="1" thickBot="1" x14ac:dyDescent="0.3">
      <c r="B18" s="68" t="s">
        <v>31</v>
      </c>
    </row>
    <row r="19" spans="1:8" ht="24" customHeight="1" thickTop="1" thickBot="1" x14ac:dyDescent="0.3">
      <c r="B19" s="69" t="s">
        <v>32</v>
      </c>
      <c r="F19" s="72" t="s">
        <v>197</v>
      </c>
      <c r="H19" s="72" t="s">
        <v>196</v>
      </c>
    </row>
    <row r="20" spans="1:8" ht="24" customHeight="1" thickTop="1" x14ac:dyDescent="0.25">
      <c r="B20" s="69" t="s">
        <v>36</v>
      </c>
      <c r="F20" s="73" t="s">
        <v>40</v>
      </c>
      <c r="H20" s="73" t="s">
        <v>39</v>
      </c>
    </row>
    <row r="21" spans="1:8" ht="24" customHeight="1" thickBot="1" x14ac:dyDescent="0.3">
      <c r="B21" s="70" t="s">
        <v>35</v>
      </c>
      <c r="F21" s="74">
        <v>3</v>
      </c>
      <c r="H21" s="74">
        <v>2</v>
      </c>
    </row>
    <row r="22" spans="1:8" ht="24" customHeight="1" thickTop="1" thickBot="1" x14ac:dyDescent="0.3">
      <c r="B22" s="71" t="s">
        <v>102</v>
      </c>
      <c r="F22" s="75" t="s">
        <v>103</v>
      </c>
      <c r="H22" s="75" t="s">
        <v>104</v>
      </c>
    </row>
    <row r="23" spans="1:8" ht="24" customHeight="1" thickTop="1" thickBot="1" x14ac:dyDescent="0.3"/>
    <row r="24" spans="1:8" ht="24" customHeight="1" thickTop="1" thickBot="1" x14ac:dyDescent="0.3">
      <c r="B24" s="72" t="s">
        <v>192</v>
      </c>
      <c r="D24" s="72" t="s">
        <v>193</v>
      </c>
      <c r="F24" s="72" t="s">
        <v>194</v>
      </c>
      <c r="H24" s="72" t="s">
        <v>195</v>
      </c>
    </row>
    <row r="25" spans="1:8" ht="24" customHeight="1" thickTop="1" x14ac:dyDescent="0.25">
      <c r="B25" s="73" t="s">
        <v>37</v>
      </c>
      <c r="D25" s="73" t="s">
        <v>38</v>
      </c>
      <c r="F25" s="73" t="s">
        <v>42</v>
      </c>
      <c r="H25" s="73" t="s">
        <v>41</v>
      </c>
    </row>
    <row r="26" spans="1:8" ht="24" customHeight="1" thickBot="1" x14ac:dyDescent="0.3">
      <c r="B26" s="76" t="s">
        <v>49</v>
      </c>
      <c r="D26" s="76" t="s">
        <v>48</v>
      </c>
      <c r="F26" s="76" t="s">
        <v>47</v>
      </c>
      <c r="H26" s="74">
        <v>1</v>
      </c>
    </row>
    <row r="27" spans="1:8" ht="24" customHeight="1" thickTop="1" thickBot="1" x14ac:dyDescent="0.3">
      <c r="B27" s="75" t="s">
        <v>105</v>
      </c>
      <c r="D27" s="75" t="s">
        <v>106</v>
      </c>
      <c r="F27" s="75" t="s">
        <v>107</v>
      </c>
      <c r="H27" s="75" t="s">
        <v>108</v>
      </c>
    </row>
    <row r="28" spans="1:8" ht="24" customHeight="1" thickTop="1" thickBot="1" x14ac:dyDescent="0.3">
      <c r="A28" s="235" t="s">
        <v>198</v>
      </c>
      <c r="B28" s="235"/>
      <c r="C28" s="235"/>
      <c r="D28" s="235"/>
      <c r="E28" s="235"/>
      <c r="F28" s="235"/>
      <c r="G28" s="235"/>
    </row>
    <row r="29" spans="1:8" ht="24" customHeight="1" thickTop="1" x14ac:dyDescent="0.25">
      <c r="B29" s="77" t="s">
        <v>80</v>
      </c>
      <c r="C29" s="77" t="s">
        <v>78</v>
      </c>
      <c r="D29" s="77">
        <v>151</v>
      </c>
      <c r="E29" s="77">
        <v>251</v>
      </c>
      <c r="F29" s="77">
        <v>191</v>
      </c>
      <c r="G29" s="77">
        <v>291</v>
      </c>
    </row>
    <row r="30" spans="1:8" ht="24" customHeight="1" thickBot="1" x14ac:dyDescent="0.3">
      <c r="B30" s="78" t="s">
        <v>81</v>
      </c>
      <c r="C30" s="78" t="s">
        <v>79</v>
      </c>
      <c r="D30" s="78">
        <v>152</v>
      </c>
      <c r="E30" s="78">
        <v>252</v>
      </c>
      <c r="F30" s="78">
        <v>192</v>
      </c>
      <c r="G30" s="78">
        <v>292</v>
      </c>
    </row>
    <row r="31" spans="1:8" ht="24" customHeight="1" thickTop="1" x14ac:dyDescent="0.25"/>
    <row r="32" spans="1:8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</sheetData>
  <mergeCells count="1">
    <mergeCell ref="A28:G28"/>
  </mergeCells>
  <phoneticPr fontId="21" type="noConversion"/>
  <pageMargins left="0.78740157480314965" right="0.78740157480314965" top="0.98425196850393704" bottom="0.98425196850393704" header="0.51181102362204722" footer="0.51181102362204722"/>
  <pageSetup paperSize="9" scale="72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T55"/>
  <sheetViews>
    <sheetView zoomScaleNormal="100" workbookViewId="0">
      <pane ySplit="8" topLeftCell="A9" activePane="bottomLeft" state="frozen"/>
      <selection pane="bottomLeft" activeCell="K36" sqref="K36:K37"/>
    </sheetView>
  </sheetViews>
  <sheetFormatPr baseColWidth="10" defaultRowHeight="13.2" x14ac:dyDescent="0.25"/>
  <cols>
    <col min="1" max="2" width="8.6640625" customWidth="1"/>
    <col min="3" max="3" width="7.33203125" customWidth="1"/>
    <col min="4" max="4" width="23.44140625" customWidth="1"/>
    <col min="5" max="5" width="4.6640625" customWidth="1"/>
    <col min="6" max="6" width="1.109375" customWidth="1"/>
    <col min="7" max="8" width="7.6640625" style="1" customWidth="1"/>
    <col min="9" max="9" width="1" customWidth="1"/>
    <col min="10" max="10" width="4.6640625" customWidth="1"/>
    <col min="11" max="11" width="26.33203125" customWidth="1"/>
    <col min="12" max="12" width="1" customWidth="1"/>
    <col min="13" max="15" width="16.6640625" customWidth="1"/>
    <col min="16" max="16" width="0.5546875" customWidth="1"/>
  </cols>
  <sheetData>
    <row r="1" spans="1:19" s="94" customFormat="1" ht="27.75" customHeight="1" x14ac:dyDescent="0.25">
      <c r="F1" s="95"/>
      <c r="G1" s="96" t="s">
        <v>119</v>
      </c>
      <c r="H1" s="97"/>
      <c r="I1" s="247" t="str">
        <f>saison</f>
        <v>2016 - 2017</v>
      </c>
      <c r="J1" s="247"/>
      <c r="K1" s="247"/>
      <c r="L1" s="247"/>
      <c r="M1" s="247"/>
      <c r="N1" s="247"/>
      <c r="O1" s="247"/>
      <c r="P1" s="247"/>
    </row>
    <row r="2" spans="1:19" s="94" customFormat="1" ht="27.75" customHeight="1" x14ac:dyDescent="0.25">
      <c r="F2" s="95"/>
      <c r="G2" s="243" t="s">
        <v>120</v>
      </c>
      <c r="H2" s="244"/>
      <c r="I2" s="245" t="str">
        <f>lieu</f>
        <v xml:space="preserve">LAGNY </v>
      </c>
      <c r="J2" s="246"/>
      <c r="K2" s="246"/>
      <c r="L2" s="246"/>
      <c r="M2" s="246"/>
      <c r="N2" s="246"/>
      <c r="O2" s="246"/>
      <c r="P2" s="248"/>
    </row>
    <row r="3" spans="1:19" s="97" customFormat="1" ht="34.5" customHeight="1" x14ac:dyDescent="0.25">
      <c r="K3" s="249" t="s">
        <v>121</v>
      </c>
      <c r="L3" s="249"/>
      <c r="M3" s="249"/>
      <c r="N3" s="249"/>
      <c r="O3" s="249"/>
      <c r="P3" s="249"/>
    </row>
    <row r="4" spans="1:19" s="97" customFormat="1" ht="21" customHeight="1" x14ac:dyDescent="0.25">
      <c r="A4" s="96" t="s">
        <v>122</v>
      </c>
      <c r="B4" s="245" t="str">
        <f>date</f>
        <v>6 et 7 mai 2017</v>
      </c>
      <c r="C4" s="246"/>
      <c r="D4" s="246"/>
      <c r="E4" s="246"/>
      <c r="F4" s="246"/>
      <c r="G4" s="246"/>
      <c r="H4" s="246"/>
      <c r="I4" s="248"/>
      <c r="J4" s="243" t="s">
        <v>123</v>
      </c>
      <c r="K4" s="243"/>
      <c r="L4" s="244"/>
      <c r="M4" s="245" t="str">
        <f>catégorie</f>
        <v>BENJAMINS</v>
      </c>
      <c r="N4" s="246"/>
      <c r="O4" s="246"/>
      <c r="P4" s="246"/>
    </row>
    <row r="5" spans="1:19" s="94" customFormat="1" ht="18" customHeight="1" x14ac:dyDescent="0.25">
      <c r="A5" s="242" t="s">
        <v>124</v>
      </c>
      <c r="B5" s="242"/>
      <c r="C5" s="242"/>
      <c r="D5" s="236" t="str">
        <f>duréematch</f>
        <v>2*10' +2' de mi-temps +1' temps mort par  équipe +3' inter-match = 27'</v>
      </c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132"/>
      <c r="Q5" s="98"/>
      <c r="R5" s="98"/>
      <c r="S5" s="98"/>
    </row>
    <row r="6" spans="1:19" ht="34.5" customHeight="1" thickBot="1" x14ac:dyDescent="0.3">
      <c r="I6" s="54"/>
      <c r="J6" s="54"/>
      <c r="K6" s="54"/>
      <c r="L6" s="54"/>
      <c r="M6" s="113"/>
      <c r="N6" s="113"/>
      <c r="O6" s="113"/>
      <c r="P6" s="132"/>
    </row>
    <row r="7" spans="1:19" s="10" customFormat="1" ht="21.9" customHeight="1" thickTop="1" thickBot="1" x14ac:dyDescent="0.3">
      <c r="A7" s="2"/>
      <c r="B7" s="2"/>
      <c r="C7" s="3"/>
      <c r="D7" s="4" t="s">
        <v>51</v>
      </c>
      <c r="E7" s="5"/>
      <c r="F7" s="6"/>
      <c r="G7" s="4" t="s">
        <v>52</v>
      </c>
      <c r="H7" s="7"/>
      <c r="I7" s="8"/>
      <c r="J7" s="9" t="s">
        <v>50</v>
      </c>
      <c r="K7" s="5"/>
      <c r="L7" s="6"/>
      <c r="M7" s="239" t="s">
        <v>133</v>
      </c>
      <c r="N7" s="240"/>
      <c r="O7" s="241"/>
      <c r="P7" s="132"/>
    </row>
    <row r="8" spans="1:19" s="10" customFormat="1" ht="21.9" customHeight="1" thickTop="1" thickBot="1" x14ac:dyDescent="0.3">
      <c r="A8" s="11" t="s">
        <v>53</v>
      </c>
      <c r="B8" s="11" t="s">
        <v>0</v>
      </c>
      <c r="C8" s="12" t="s">
        <v>6</v>
      </c>
      <c r="D8" s="12" t="s">
        <v>3</v>
      </c>
      <c r="E8" s="12" t="s">
        <v>5</v>
      </c>
      <c r="F8" s="13"/>
      <c r="G8" s="12" t="s">
        <v>2</v>
      </c>
      <c r="H8" s="12" t="s">
        <v>1</v>
      </c>
      <c r="I8" s="13"/>
      <c r="J8" s="12" t="s">
        <v>5</v>
      </c>
      <c r="K8" s="12" t="s">
        <v>4</v>
      </c>
      <c r="L8" s="13"/>
      <c r="M8" s="133" t="s">
        <v>130</v>
      </c>
      <c r="N8" s="237" t="s">
        <v>84</v>
      </c>
      <c r="O8" s="238"/>
      <c r="P8" s="134"/>
    </row>
    <row r="9" spans="1:19" s="10" customFormat="1" ht="17.100000000000001" customHeight="1" thickTop="1" thickBot="1" x14ac:dyDescent="0.3">
      <c r="A9" s="47" t="s">
        <v>82</v>
      </c>
      <c r="B9" s="38">
        <v>0.39583333333333331</v>
      </c>
      <c r="C9" s="219" t="s">
        <v>167</v>
      </c>
      <c r="D9" s="187" t="str">
        <f>_pa1</f>
        <v>NEUILLY</v>
      </c>
      <c r="E9" s="187" t="s">
        <v>7</v>
      </c>
      <c r="F9" s="188"/>
      <c r="G9" s="189"/>
      <c r="H9" s="190"/>
      <c r="I9" s="188"/>
      <c r="J9" s="187" t="s">
        <v>8</v>
      </c>
      <c r="K9" s="187" t="str">
        <f>_pa5</f>
        <v>LA GUERCHE</v>
      </c>
      <c r="L9" s="188"/>
      <c r="M9" s="200"/>
      <c r="N9" s="201"/>
      <c r="O9" s="202"/>
      <c r="P9" s="199"/>
    </row>
    <row r="10" spans="1:19" s="10" customFormat="1" ht="17.100000000000001" customHeight="1" thickTop="1" thickBot="1" x14ac:dyDescent="0.3">
      <c r="A10" s="47" t="s">
        <v>82</v>
      </c>
      <c r="B10" s="49">
        <f t="shared" ref="B10:B31" si="0">B9+durée1</f>
        <v>0.4145833333333333</v>
      </c>
      <c r="C10" s="219" t="s">
        <v>168</v>
      </c>
      <c r="D10" s="187" t="str">
        <f>_pb2</f>
        <v>FONTENAY</v>
      </c>
      <c r="E10" s="187" t="s">
        <v>9</v>
      </c>
      <c r="F10" s="188"/>
      <c r="G10" s="190"/>
      <c r="H10" s="190"/>
      <c r="I10" s="188"/>
      <c r="J10" s="187" t="s">
        <v>12</v>
      </c>
      <c r="K10" s="187" t="str">
        <f>_pb6</f>
        <v>LE CHESNAY/CLAMART</v>
      </c>
      <c r="L10" s="188"/>
      <c r="M10" s="203"/>
      <c r="N10" s="204"/>
      <c r="O10" s="204"/>
      <c r="P10" s="199"/>
    </row>
    <row r="11" spans="1:19" s="10" customFormat="1" ht="17.100000000000001" customHeight="1" thickTop="1" thickBot="1" x14ac:dyDescent="0.3">
      <c r="A11" s="47" t="s">
        <v>82</v>
      </c>
      <c r="B11" s="49">
        <f t="shared" si="0"/>
        <v>0.43333333333333329</v>
      </c>
      <c r="C11" s="219" t="s">
        <v>169</v>
      </c>
      <c r="D11" s="187" t="str">
        <f>_pc3</f>
        <v>PONTOISE</v>
      </c>
      <c r="E11" s="187" t="s">
        <v>10</v>
      </c>
      <c r="F11" s="188"/>
      <c r="G11" s="190"/>
      <c r="H11" s="190"/>
      <c r="I11" s="188"/>
      <c r="J11" s="187" t="s">
        <v>13</v>
      </c>
      <c r="K11" s="187" t="str">
        <f>_pc7</f>
        <v>LILLE</v>
      </c>
      <c r="L11" s="188"/>
      <c r="M11" s="205"/>
      <c r="N11" s="204"/>
      <c r="O11" s="204"/>
      <c r="P11" s="199"/>
    </row>
    <row r="12" spans="1:19" s="10" customFormat="1" ht="17.100000000000001" customHeight="1" thickTop="1" thickBot="1" x14ac:dyDescent="0.3">
      <c r="A12" s="47" t="s">
        <v>82</v>
      </c>
      <c r="B12" s="49">
        <f t="shared" si="0"/>
        <v>0.45208333333333328</v>
      </c>
      <c r="C12" s="219" t="s">
        <v>170</v>
      </c>
      <c r="D12" s="187" t="str">
        <f>_pd4</f>
        <v>PESSAC</v>
      </c>
      <c r="E12" s="187" t="s">
        <v>11</v>
      </c>
      <c r="F12" s="188"/>
      <c r="G12" s="190"/>
      <c r="H12" s="190"/>
      <c r="I12" s="188"/>
      <c r="J12" s="187" t="s">
        <v>14</v>
      </c>
      <c r="K12" s="187" t="str">
        <f>_pd8</f>
        <v>LAGNY</v>
      </c>
      <c r="L12" s="188"/>
      <c r="M12" s="205"/>
      <c r="N12" s="204"/>
      <c r="O12" s="202"/>
      <c r="P12" s="199"/>
    </row>
    <row r="13" spans="1:19" s="10" customFormat="1" ht="17.100000000000001" customHeight="1" thickTop="1" thickBot="1" x14ac:dyDescent="0.3">
      <c r="A13" s="47" t="s">
        <v>82</v>
      </c>
      <c r="B13" s="49">
        <f t="shared" si="0"/>
        <v>0.47083333333333327</v>
      </c>
      <c r="C13" s="219" t="s">
        <v>171</v>
      </c>
      <c r="D13" s="187" t="str">
        <f>_pa5</f>
        <v>LA GUERCHE</v>
      </c>
      <c r="E13" s="187" t="s">
        <v>8</v>
      </c>
      <c r="F13" s="188"/>
      <c r="G13" s="190"/>
      <c r="H13" s="190"/>
      <c r="I13" s="188"/>
      <c r="J13" s="187" t="s">
        <v>15</v>
      </c>
      <c r="K13" s="187" t="str">
        <f>_pa9</f>
        <v>LAGNY 2</v>
      </c>
      <c r="L13" s="188"/>
      <c r="M13" s="205"/>
      <c r="N13" s="204"/>
      <c r="O13" s="204"/>
      <c r="P13" s="199"/>
    </row>
    <row r="14" spans="1:19" s="10" customFormat="1" ht="17.100000000000001" customHeight="1" thickTop="1" thickBot="1" x14ac:dyDescent="0.3">
      <c r="A14" s="47" t="s">
        <v>82</v>
      </c>
      <c r="B14" s="49">
        <f t="shared" si="0"/>
        <v>0.48958333333333326</v>
      </c>
      <c r="C14" s="219" t="s">
        <v>172</v>
      </c>
      <c r="D14" s="187" t="str">
        <f>_pb6</f>
        <v>LE CHESNAY/CLAMART</v>
      </c>
      <c r="E14" s="187" t="s">
        <v>12</v>
      </c>
      <c r="F14" s="188"/>
      <c r="G14" s="190"/>
      <c r="H14" s="190"/>
      <c r="I14" s="188"/>
      <c r="J14" s="187" t="s">
        <v>16</v>
      </c>
      <c r="K14" s="187" t="str">
        <f>_pb10</f>
        <v>MOIRANS</v>
      </c>
      <c r="L14" s="188"/>
      <c r="M14" s="206"/>
      <c r="N14" s="204"/>
      <c r="O14" s="204"/>
      <c r="P14" s="199"/>
    </row>
    <row r="15" spans="1:19" s="10" customFormat="1" ht="17.100000000000001" customHeight="1" thickTop="1" thickBot="1" x14ac:dyDescent="0.3">
      <c r="A15" s="47" t="s">
        <v>82</v>
      </c>
      <c r="B15" s="49">
        <f t="shared" si="0"/>
        <v>0.5083333333333333</v>
      </c>
      <c r="C15" s="219" t="s">
        <v>173</v>
      </c>
      <c r="D15" s="187" t="str">
        <f>_pc7</f>
        <v>LILLE</v>
      </c>
      <c r="E15" s="187" t="s">
        <v>13</v>
      </c>
      <c r="F15" s="188"/>
      <c r="G15" s="190"/>
      <c r="H15" s="190"/>
      <c r="I15" s="188"/>
      <c r="J15" s="187" t="s">
        <v>17</v>
      </c>
      <c r="K15" s="187" t="str">
        <f>_pc11</f>
        <v>LAGNY3/HYERES</v>
      </c>
      <c r="L15" s="188"/>
      <c r="M15" s="205"/>
      <c r="N15" s="204"/>
      <c r="O15" s="204"/>
      <c r="P15" s="199"/>
    </row>
    <row r="16" spans="1:19" s="10" customFormat="1" ht="17.100000000000001" customHeight="1" thickTop="1" thickBot="1" x14ac:dyDescent="0.3">
      <c r="A16" s="47" t="s">
        <v>82</v>
      </c>
      <c r="B16" s="49">
        <f t="shared" si="0"/>
        <v>0.52708333333333335</v>
      </c>
      <c r="C16" s="219" t="s">
        <v>174</v>
      </c>
      <c r="D16" s="187" t="str">
        <f>_pd8</f>
        <v>LAGNY</v>
      </c>
      <c r="E16" s="187" t="s">
        <v>14</v>
      </c>
      <c r="F16" s="188"/>
      <c r="G16" s="190"/>
      <c r="H16" s="190"/>
      <c r="I16" s="188"/>
      <c r="J16" s="187" t="s">
        <v>18</v>
      </c>
      <c r="K16" s="187" t="str">
        <f>_pd12</f>
        <v>COMBOURG/QUIMPERLE</v>
      </c>
      <c r="L16" s="188"/>
      <c r="M16" s="205"/>
      <c r="N16" s="204"/>
      <c r="O16" s="204"/>
      <c r="P16" s="199"/>
    </row>
    <row r="17" spans="1:16" s="10" customFormat="1" ht="17.100000000000001" customHeight="1" thickTop="1" thickBot="1" x14ac:dyDescent="0.3">
      <c r="A17" s="47" t="s">
        <v>82</v>
      </c>
      <c r="B17" s="49">
        <f t="shared" si="0"/>
        <v>0.54583333333333339</v>
      </c>
      <c r="C17" s="219" t="s">
        <v>175</v>
      </c>
      <c r="D17" s="187" t="str">
        <f>_pa9</f>
        <v>LAGNY 2</v>
      </c>
      <c r="E17" s="187" t="s">
        <v>15</v>
      </c>
      <c r="F17" s="188"/>
      <c r="G17" s="190"/>
      <c r="H17" s="190"/>
      <c r="I17" s="188"/>
      <c r="J17" s="187" t="s">
        <v>7</v>
      </c>
      <c r="K17" s="187" t="str">
        <f>_pa1</f>
        <v>NEUILLY</v>
      </c>
      <c r="L17" s="188"/>
      <c r="M17" s="205"/>
      <c r="N17" s="204"/>
      <c r="O17" s="204"/>
      <c r="P17" s="199"/>
    </row>
    <row r="18" spans="1:16" s="10" customFormat="1" ht="17.100000000000001" customHeight="1" thickTop="1" thickBot="1" x14ac:dyDescent="0.3">
      <c r="A18" s="47" t="s">
        <v>82</v>
      </c>
      <c r="B18" s="49">
        <f t="shared" si="0"/>
        <v>0.56458333333333344</v>
      </c>
      <c r="C18" s="219" t="s">
        <v>176</v>
      </c>
      <c r="D18" s="187" t="str">
        <f>_pb10</f>
        <v>MOIRANS</v>
      </c>
      <c r="E18" s="187" t="s">
        <v>16</v>
      </c>
      <c r="F18" s="188"/>
      <c r="G18" s="190"/>
      <c r="H18" s="190"/>
      <c r="I18" s="188"/>
      <c r="J18" s="187" t="s">
        <v>9</v>
      </c>
      <c r="K18" s="187" t="str">
        <f>_pb2</f>
        <v>FONTENAY</v>
      </c>
      <c r="L18" s="188"/>
      <c r="M18" s="205"/>
      <c r="N18" s="204"/>
      <c r="O18" s="204"/>
      <c r="P18" s="199"/>
    </row>
    <row r="19" spans="1:16" s="10" customFormat="1" ht="17.100000000000001" customHeight="1" thickTop="1" thickBot="1" x14ac:dyDescent="0.3">
      <c r="A19" s="47" t="s">
        <v>82</v>
      </c>
      <c r="B19" s="49">
        <f t="shared" si="0"/>
        <v>0.58333333333333348</v>
      </c>
      <c r="C19" s="219" t="s">
        <v>177</v>
      </c>
      <c r="D19" s="187" t="str">
        <f>_pc11</f>
        <v>LAGNY3/HYERES</v>
      </c>
      <c r="E19" s="187" t="s">
        <v>17</v>
      </c>
      <c r="F19" s="188"/>
      <c r="G19" s="190"/>
      <c r="H19" s="190"/>
      <c r="I19" s="188"/>
      <c r="J19" s="187" t="s">
        <v>10</v>
      </c>
      <c r="K19" s="187" t="str">
        <f>_pc3</f>
        <v>PONTOISE</v>
      </c>
      <c r="L19" s="188"/>
      <c r="M19" s="200"/>
      <c r="N19" s="204"/>
      <c r="O19" s="204"/>
      <c r="P19" s="199"/>
    </row>
    <row r="20" spans="1:16" s="10" customFormat="1" ht="17.100000000000001" customHeight="1" thickTop="1" thickBot="1" x14ac:dyDescent="0.3">
      <c r="A20" s="47" t="s">
        <v>82</v>
      </c>
      <c r="B20" s="49">
        <f t="shared" si="0"/>
        <v>0.60208333333333353</v>
      </c>
      <c r="C20" s="219" t="s">
        <v>178</v>
      </c>
      <c r="D20" s="190" t="str">
        <f>_pd12</f>
        <v>COMBOURG/QUIMPERLE</v>
      </c>
      <c r="E20" s="187" t="s">
        <v>18</v>
      </c>
      <c r="F20" s="188"/>
      <c r="G20" s="190"/>
      <c r="H20" s="190"/>
      <c r="I20" s="188"/>
      <c r="J20" s="187" t="s">
        <v>11</v>
      </c>
      <c r="K20" s="187" t="str">
        <f>_pd4</f>
        <v>PESSAC</v>
      </c>
      <c r="L20" s="188"/>
      <c r="M20" s="205"/>
      <c r="N20" s="204"/>
      <c r="O20" s="204"/>
      <c r="P20" s="199"/>
    </row>
    <row r="21" spans="1:16" s="10" customFormat="1" ht="17.100000000000001" customHeight="1" thickTop="1" thickBot="1" x14ac:dyDescent="0.3">
      <c r="A21" s="47" t="s">
        <v>82</v>
      </c>
      <c r="B21" s="49">
        <f t="shared" si="0"/>
        <v>0.62083333333333357</v>
      </c>
      <c r="C21" s="219" t="s">
        <v>179</v>
      </c>
      <c r="D21" s="190" t="str">
        <f>x1a</f>
        <v/>
      </c>
      <c r="E21" s="187" t="s">
        <v>19</v>
      </c>
      <c r="F21" s="188"/>
      <c r="G21" s="190"/>
      <c r="H21" s="190"/>
      <c r="I21" s="188"/>
      <c r="J21" s="187" t="s">
        <v>24</v>
      </c>
      <c r="K21" s="190" t="str">
        <f>x1b</f>
        <v/>
      </c>
      <c r="L21" s="188"/>
      <c r="M21" s="205"/>
      <c r="N21" s="204"/>
      <c r="O21" s="202"/>
      <c r="P21" s="199" t="str">
        <f>IF(M21="","",IF(M21="P. PLAQUIN",#REF!,IF(N21="P. PLAQUIN",#REF!,IF(O21="P. PLAQUIN",#REF!,""))))</f>
        <v/>
      </c>
    </row>
    <row r="22" spans="1:16" s="10" customFormat="1" ht="17.100000000000001" customHeight="1" thickTop="1" thickBot="1" x14ac:dyDescent="0.3">
      <c r="A22" s="47" t="s">
        <v>82</v>
      </c>
      <c r="B22" s="49">
        <f t="shared" si="0"/>
        <v>0.63958333333333361</v>
      </c>
      <c r="C22" s="219" t="s">
        <v>180</v>
      </c>
      <c r="D22" s="190" t="str">
        <f>x2a</f>
        <v/>
      </c>
      <c r="E22" s="187" t="s">
        <v>20</v>
      </c>
      <c r="F22" s="188"/>
      <c r="G22" s="190"/>
      <c r="H22" s="190"/>
      <c r="I22" s="188"/>
      <c r="J22" s="187" t="s">
        <v>23</v>
      </c>
      <c r="K22" s="190" t="str">
        <f>x2b</f>
        <v/>
      </c>
      <c r="L22" s="188"/>
      <c r="M22" s="204"/>
      <c r="N22" s="204"/>
      <c r="O22" s="200"/>
      <c r="P22" s="199" t="str">
        <f>IF(M22="","",IF(M22="P. PLAQUIN",#REF!,IF(N22="P. PLAQUIN",#REF!,IF(O22="P. PLAQUIN",#REF!,""))))</f>
        <v/>
      </c>
    </row>
    <row r="23" spans="1:16" s="10" customFormat="1" ht="17.100000000000001" customHeight="1" thickTop="1" thickBot="1" x14ac:dyDescent="0.3">
      <c r="A23" s="47" t="s">
        <v>82</v>
      </c>
      <c r="B23" s="49">
        <f t="shared" si="0"/>
        <v>0.65833333333333366</v>
      </c>
      <c r="C23" s="219" t="s">
        <v>181</v>
      </c>
      <c r="D23" s="190" t="str">
        <f>y1c</f>
        <v/>
      </c>
      <c r="E23" s="187" t="s">
        <v>21</v>
      </c>
      <c r="F23" s="188"/>
      <c r="G23" s="190"/>
      <c r="H23" s="190"/>
      <c r="I23" s="188"/>
      <c r="J23" s="187" t="s">
        <v>26</v>
      </c>
      <c r="K23" s="190" t="str">
        <f>y1d</f>
        <v/>
      </c>
      <c r="L23" s="188"/>
      <c r="M23" s="205"/>
      <c r="N23" s="204"/>
      <c r="O23" s="207"/>
      <c r="P23" s="199" t="str">
        <f>IF(M23="","",IF(M23="P. PLAQUIN",#REF!,IF(N23="P. PLAQUIN",#REF!,IF(O23="P. PLAQUIN",#REF!,""))))</f>
        <v/>
      </c>
    </row>
    <row r="24" spans="1:16" s="10" customFormat="1" ht="17.100000000000001" customHeight="1" thickTop="1" thickBot="1" x14ac:dyDescent="0.3">
      <c r="A24" s="47" t="s">
        <v>82</v>
      </c>
      <c r="B24" s="49">
        <f t="shared" si="0"/>
        <v>0.6770833333333337</v>
      </c>
      <c r="C24" s="219" t="s">
        <v>182</v>
      </c>
      <c r="D24" s="190" t="str">
        <f>y2c</f>
        <v/>
      </c>
      <c r="E24" s="187" t="s">
        <v>22</v>
      </c>
      <c r="F24" s="188"/>
      <c r="G24" s="190"/>
      <c r="H24" s="190"/>
      <c r="I24" s="188"/>
      <c r="J24" s="187" t="s">
        <v>25</v>
      </c>
      <c r="K24" s="190" t="str">
        <f>y2d</f>
        <v/>
      </c>
      <c r="L24" s="188"/>
      <c r="M24" s="205"/>
      <c r="N24" s="208"/>
      <c r="O24" s="209"/>
      <c r="P24" s="199" t="str">
        <f>IF(M24="","",IF(M24="P. PLAQUIN",#REF!,IF(N24="P. PLAQUIN",#REF!,IF(O24="P. PLAQUIN",#REF!,""))))</f>
        <v/>
      </c>
    </row>
    <row r="25" spans="1:16" s="10" customFormat="1" ht="17.100000000000001" customHeight="1" thickTop="1" thickBot="1" x14ac:dyDescent="0.3">
      <c r="A25" s="47" t="s">
        <v>82</v>
      </c>
      <c r="B25" s="49">
        <f t="shared" si="0"/>
        <v>0.69583333333333375</v>
      </c>
      <c r="C25" s="219" t="s">
        <v>183</v>
      </c>
      <c r="D25" s="190" t="str">
        <f>x2b</f>
        <v/>
      </c>
      <c r="E25" s="187" t="s">
        <v>23</v>
      </c>
      <c r="F25" s="188"/>
      <c r="G25" s="190"/>
      <c r="H25" s="190"/>
      <c r="I25" s="188"/>
      <c r="J25" s="187" t="s">
        <v>19</v>
      </c>
      <c r="K25" s="190" t="str">
        <f>x1a</f>
        <v/>
      </c>
      <c r="L25" s="188"/>
      <c r="M25" s="205"/>
      <c r="N25" s="204"/>
      <c r="O25" s="207"/>
      <c r="P25" s="199" t="str">
        <f>IF(M25="","",IF(M25="P. PLAQUIN",#REF!,IF(N25="P. PLAQUIN",#REF!,IF(O25="P. PLAQUIN",#REF!,""))))</f>
        <v/>
      </c>
    </row>
    <row r="26" spans="1:16" s="10" customFormat="1" ht="17.100000000000001" customHeight="1" thickTop="1" thickBot="1" x14ac:dyDescent="0.3">
      <c r="A26" s="47" t="s">
        <v>82</v>
      </c>
      <c r="B26" s="49">
        <f t="shared" si="0"/>
        <v>0.71458333333333379</v>
      </c>
      <c r="C26" s="219" t="s">
        <v>184</v>
      </c>
      <c r="D26" s="190" t="str">
        <f>x1b</f>
        <v/>
      </c>
      <c r="E26" s="187" t="s">
        <v>24</v>
      </c>
      <c r="F26" s="188"/>
      <c r="G26" s="190"/>
      <c r="H26" s="190"/>
      <c r="I26" s="188"/>
      <c r="J26" s="187" t="s">
        <v>20</v>
      </c>
      <c r="K26" s="190" t="str">
        <f>x2a</f>
        <v/>
      </c>
      <c r="L26" s="188"/>
      <c r="M26" s="205"/>
      <c r="N26" s="204"/>
      <c r="O26" s="207"/>
      <c r="P26" s="199" t="str">
        <f>IF(M26="","",IF(M26="P. PLAQUIN",#REF!,IF(N26="P. PLAQUIN",#REF!,IF(O26="P. PLAQUIN",#REF!,""))))</f>
        <v/>
      </c>
    </row>
    <row r="27" spans="1:16" s="10" customFormat="1" ht="17.100000000000001" customHeight="1" thickTop="1" thickBot="1" x14ac:dyDescent="0.3">
      <c r="A27" s="47" t="s">
        <v>82</v>
      </c>
      <c r="B27" s="49">
        <f t="shared" si="0"/>
        <v>0.73333333333333384</v>
      </c>
      <c r="C27" s="219" t="s">
        <v>185</v>
      </c>
      <c r="D27" s="190" t="str">
        <f>y2d</f>
        <v/>
      </c>
      <c r="E27" s="187" t="s">
        <v>25</v>
      </c>
      <c r="F27" s="188"/>
      <c r="G27" s="190"/>
      <c r="H27" s="190"/>
      <c r="I27" s="188"/>
      <c r="J27" s="187" t="s">
        <v>21</v>
      </c>
      <c r="K27" s="190" t="str">
        <f>y1c</f>
        <v/>
      </c>
      <c r="L27" s="188"/>
      <c r="M27" s="205"/>
      <c r="N27" s="205"/>
      <c r="O27" s="210"/>
      <c r="P27" s="199" t="str">
        <f>IF(M27="","",IF(M27="P. PLAQUIN",#REF!,IF(N27="P. PLAQUIN",#REF!,IF(O27="P. PLAQUIN",#REF!,""))))</f>
        <v/>
      </c>
    </row>
    <row r="28" spans="1:16" s="10" customFormat="1" ht="17.100000000000001" customHeight="1" thickTop="1" thickBot="1" x14ac:dyDescent="0.3">
      <c r="A28" s="47" t="s">
        <v>82</v>
      </c>
      <c r="B28" s="49">
        <f t="shared" si="0"/>
        <v>0.75208333333333388</v>
      </c>
      <c r="C28" s="219" t="s">
        <v>186</v>
      </c>
      <c r="D28" s="190" t="str">
        <f>y1d</f>
        <v/>
      </c>
      <c r="E28" s="187" t="s">
        <v>26</v>
      </c>
      <c r="F28" s="188"/>
      <c r="G28" s="190"/>
      <c r="H28" s="190"/>
      <c r="I28" s="188"/>
      <c r="J28" s="187" t="s">
        <v>22</v>
      </c>
      <c r="K28" s="190" t="str">
        <f>y2c</f>
        <v/>
      </c>
      <c r="L28" s="188"/>
      <c r="M28" s="205"/>
      <c r="N28" s="205"/>
      <c r="O28" s="211"/>
      <c r="P28" s="199" t="str">
        <f>IF(M28="","",IF(M28="P. PLAQUIN",#REF!,IF(N28="P. PLAQUIN",#REF!,IF(O28="P. PLAQUIN",#REF!,""))))</f>
        <v/>
      </c>
    </row>
    <row r="29" spans="1:16" s="10" customFormat="1" ht="14.4" thickTop="1" thickBot="1" x14ac:dyDescent="0.3">
      <c r="A29" s="47" t="s">
        <v>82</v>
      </c>
      <c r="B29" s="49">
        <f t="shared" si="0"/>
        <v>0.77083333333333393</v>
      </c>
      <c r="C29" s="219" t="s">
        <v>187</v>
      </c>
      <c r="D29" s="190" t="str">
        <f>e3c</f>
        <v/>
      </c>
      <c r="E29" s="187" t="s">
        <v>27</v>
      </c>
      <c r="F29" s="188"/>
      <c r="G29" s="190"/>
      <c r="H29" s="190"/>
      <c r="I29" s="188"/>
      <c r="J29" s="187" t="s">
        <v>28</v>
      </c>
      <c r="K29" s="190" t="str">
        <f>e3d</f>
        <v/>
      </c>
      <c r="L29" s="188"/>
      <c r="M29" s="205"/>
      <c r="N29" s="205"/>
      <c r="O29" s="210"/>
      <c r="P29" s="199" t="str">
        <f>IF(M29="","",IF(M29="P. PLAQUIN",#REF!,IF(N29="P. PLAQUIN",#REF!,IF(O29="P. PLAQUIN",#REF!,""))))</f>
        <v/>
      </c>
    </row>
    <row r="30" spans="1:16" s="10" customFormat="1" ht="17.100000000000001" customHeight="1" thickTop="1" thickBot="1" x14ac:dyDescent="0.3">
      <c r="A30" s="47" t="s">
        <v>82</v>
      </c>
      <c r="B30" s="49">
        <f t="shared" si="0"/>
        <v>0.78958333333333397</v>
      </c>
      <c r="C30" s="219" t="s">
        <v>188</v>
      </c>
      <c r="D30" s="190" t="str">
        <f>f3a</f>
        <v/>
      </c>
      <c r="E30" s="187" t="s">
        <v>29</v>
      </c>
      <c r="F30" s="188"/>
      <c r="G30" s="190"/>
      <c r="H30" s="190"/>
      <c r="I30" s="188"/>
      <c r="J30" s="187" t="s">
        <v>30</v>
      </c>
      <c r="K30" s="190" t="str">
        <f>f3b</f>
        <v/>
      </c>
      <c r="L30" s="188"/>
      <c r="M30" s="200"/>
      <c r="N30" s="202"/>
      <c r="O30" s="204"/>
      <c r="P30" s="199" t="str">
        <f>IF(M30="","",IF(M30="P. PLAQUIN",#REF!,IF(N30="P. PLAQUIN",#REF!,IF(O30="P. PLAQUIN",#REF!,""))))</f>
        <v/>
      </c>
    </row>
    <row r="31" spans="1:16" s="10" customFormat="1" ht="14.4" thickTop="1" thickBot="1" x14ac:dyDescent="0.3">
      <c r="A31" s="47" t="s">
        <v>82</v>
      </c>
      <c r="B31" s="49">
        <f t="shared" si="0"/>
        <v>0.80833333333333401</v>
      </c>
      <c r="C31" s="191"/>
      <c r="D31" s="192"/>
      <c r="E31" s="193"/>
      <c r="F31" s="194"/>
      <c r="G31" s="192"/>
      <c r="H31" s="192"/>
      <c r="I31" s="194"/>
      <c r="J31" s="193"/>
      <c r="K31" s="192"/>
      <c r="L31" s="194"/>
      <c r="M31" s="212"/>
      <c r="N31" s="213"/>
      <c r="O31" s="213"/>
    </row>
    <row r="32" spans="1:16" s="10" customFormat="1" ht="13.8" thickTop="1" x14ac:dyDescent="0.25">
      <c r="A32" s="114"/>
      <c r="B32" s="115"/>
      <c r="C32" s="195"/>
      <c r="D32" s="196"/>
      <c r="E32" s="197"/>
      <c r="F32" s="194"/>
      <c r="G32" s="196"/>
      <c r="H32" s="196"/>
      <c r="I32" s="194"/>
      <c r="J32" s="197"/>
      <c r="K32" s="196"/>
      <c r="L32" s="194"/>
      <c r="M32" s="212"/>
      <c r="N32" s="213"/>
      <c r="O32" s="213"/>
    </row>
    <row r="33" spans="1:18" s="10" customFormat="1" ht="13.8" thickBot="1" x14ac:dyDescent="0.3">
      <c r="A33" s="114"/>
      <c r="B33" s="115"/>
      <c r="C33" s="195"/>
      <c r="D33" s="196"/>
      <c r="E33" s="197"/>
      <c r="F33" s="194"/>
      <c r="G33" s="196"/>
      <c r="H33" s="196"/>
      <c r="I33" s="194"/>
      <c r="J33" s="197"/>
      <c r="K33" s="196"/>
      <c r="L33" s="194"/>
      <c r="M33" s="214"/>
      <c r="N33" s="215"/>
      <c r="O33" s="215"/>
      <c r="P33" s="136"/>
    </row>
    <row r="34" spans="1:18" s="10" customFormat="1" ht="17.100000000000001" customHeight="1" thickTop="1" thickBot="1" x14ac:dyDescent="0.3">
      <c r="A34" s="47" t="s">
        <v>83</v>
      </c>
      <c r="B34" s="49">
        <v>0.33333333333333331</v>
      </c>
      <c r="C34" s="219">
        <f>C30+1</f>
        <v>23</v>
      </c>
      <c r="D34" s="190" t="str">
        <f>g2x</f>
        <v/>
      </c>
      <c r="E34" s="187" t="s">
        <v>31</v>
      </c>
      <c r="F34" s="188"/>
      <c r="G34" s="190"/>
      <c r="H34" s="190"/>
      <c r="I34" s="188"/>
      <c r="J34" s="187" t="s">
        <v>36</v>
      </c>
      <c r="K34" s="190" t="str">
        <f>g2y</f>
        <v/>
      </c>
      <c r="L34" s="188"/>
      <c r="M34" s="200"/>
      <c r="N34" s="202"/>
      <c r="O34" s="204"/>
      <c r="P34" s="135"/>
    </row>
    <row r="35" spans="1:18" s="10" customFormat="1" ht="14.4" thickTop="1" thickBot="1" x14ac:dyDescent="0.3">
      <c r="A35" s="48" t="s">
        <v>83</v>
      </c>
      <c r="B35" s="49">
        <f t="shared" ref="B35:B54" si="1">B34+durée1</f>
        <v>0.3520833333333333</v>
      </c>
      <c r="C35" s="219">
        <v>24</v>
      </c>
      <c r="D35" s="190" t="str">
        <f>g3x</f>
        <v/>
      </c>
      <c r="E35" s="187" t="s">
        <v>32</v>
      </c>
      <c r="F35" s="188"/>
      <c r="G35" s="190"/>
      <c r="H35" s="190"/>
      <c r="I35" s="188"/>
      <c r="J35" s="187" t="s">
        <v>35</v>
      </c>
      <c r="K35" s="190" t="str">
        <f>g3y</f>
        <v/>
      </c>
      <c r="L35" s="188"/>
      <c r="M35" s="200"/>
      <c r="N35" s="204"/>
      <c r="O35" s="204"/>
      <c r="P35" s="137"/>
    </row>
    <row r="36" spans="1:18" s="10" customFormat="1" ht="14.4" thickTop="1" thickBot="1" x14ac:dyDescent="0.3">
      <c r="A36" s="48" t="s">
        <v>83</v>
      </c>
      <c r="B36" s="49">
        <f t="shared" si="1"/>
        <v>0.37083333333333329</v>
      </c>
      <c r="C36" s="219">
        <v>25</v>
      </c>
      <c r="D36" s="190" t="str">
        <f>e4x</f>
        <v/>
      </c>
      <c r="E36" s="187" t="s">
        <v>33</v>
      </c>
      <c r="F36" s="188"/>
      <c r="G36" s="190"/>
      <c r="H36" s="190"/>
      <c r="I36" s="188"/>
      <c r="J36" s="187" t="s">
        <v>27</v>
      </c>
      <c r="K36" s="190" t="str">
        <f>e3c</f>
        <v/>
      </c>
      <c r="L36" s="188"/>
      <c r="M36" s="200"/>
      <c r="N36" s="202"/>
      <c r="O36" s="202"/>
      <c r="P36" s="137"/>
    </row>
    <row r="37" spans="1:18" s="10" customFormat="1" ht="14.4" thickTop="1" thickBot="1" x14ac:dyDescent="0.3">
      <c r="A37" s="48" t="s">
        <v>83</v>
      </c>
      <c r="B37" s="49">
        <f t="shared" si="1"/>
        <v>0.38958333333333328</v>
      </c>
      <c r="C37" s="219">
        <v>26</v>
      </c>
      <c r="D37" s="190" t="str">
        <f>f4y</f>
        <v/>
      </c>
      <c r="E37" s="187" t="s">
        <v>34</v>
      </c>
      <c r="F37" s="188"/>
      <c r="G37" s="190"/>
      <c r="H37" s="190"/>
      <c r="I37" s="188"/>
      <c r="J37" s="187" t="s">
        <v>29</v>
      </c>
      <c r="K37" s="190" t="str">
        <f>f3a</f>
        <v/>
      </c>
      <c r="L37" s="188"/>
      <c r="M37" s="200"/>
      <c r="N37" s="202"/>
      <c r="O37" s="202"/>
      <c r="P37" s="137"/>
    </row>
    <row r="38" spans="1:18" s="10" customFormat="1" ht="14.4" thickTop="1" thickBot="1" x14ac:dyDescent="0.3">
      <c r="A38" s="48" t="s">
        <v>83</v>
      </c>
      <c r="B38" s="49">
        <f t="shared" si="1"/>
        <v>0.40833333333333327</v>
      </c>
      <c r="C38" s="219">
        <v>27</v>
      </c>
      <c r="D38" s="190" t="str">
        <f>g3y</f>
        <v/>
      </c>
      <c r="E38" s="187" t="s">
        <v>35</v>
      </c>
      <c r="F38" s="188"/>
      <c r="G38" s="190"/>
      <c r="H38" s="190"/>
      <c r="I38" s="188"/>
      <c r="J38" s="187" t="s">
        <v>31</v>
      </c>
      <c r="K38" s="190" t="str">
        <f>g2x</f>
        <v/>
      </c>
      <c r="L38" s="188"/>
      <c r="M38" s="200"/>
      <c r="N38" s="202"/>
      <c r="O38" s="202"/>
      <c r="P38" s="137"/>
    </row>
    <row r="39" spans="1:18" s="10" customFormat="1" ht="14.4" thickTop="1" thickBot="1" x14ac:dyDescent="0.3">
      <c r="A39" s="48" t="s">
        <v>83</v>
      </c>
      <c r="B39" s="49">
        <f t="shared" si="1"/>
        <v>0.42708333333333326</v>
      </c>
      <c r="C39" s="219">
        <v>28</v>
      </c>
      <c r="D39" s="190" t="str">
        <f>g2y</f>
        <v/>
      </c>
      <c r="E39" s="187" t="s">
        <v>36</v>
      </c>
      <c r="F39" s="188"/>
      <c r="G39" s="190"/>
      <c r="H39" s="190"/>
      <c r="I39" s="188"/>
      <c r="J39" s="187" t="s">
        <v>32</v>
      </c>
      <c r="K39" s="190" t="str">
        <f>g3x</f>
        <v/>
      </c>
      <c r="L39" s="188"/>
      <c r="M39" s="200"/>
      <c r="N39" s="202"/>
      <c r="O39" s="204"/>
      <c r="P39" s="137"/>
    </row>
    <row r="40" spans="1:18" s="10" customFormat="1" ht="14.4" thickTop="1" thickBot="1" x14ac:dyDescent="0.3">
      <c r="A40" s="48" t="s">
        <v>83</v>
      </c>
      <c r="B40" s="49">
        <f t="shared" si="1"/>
        <v>0.44583333333333325</v>
      </c>
      <c r="C40" s="219">
        <v>29</v>
      </c>
      <c r="D40" s="190" t="str">
        <f>e3d</f>
        <v/>
      </c>
      <c r="E40" s="187" t="s">
        <v>28</v>
      </c>
      <c r="F40" s="188"/>
      <c r="G40" s="190"/>
      <c r="H40" s="190"/>
      <c r="I40" s="188"/>
      <c r="J40" s="187" t="s">
        <v>33</v>
      </c>
      <c r="K40" s="190" t="str">
        <f>e4x</f>
        <v/>
      </c>
      <c r="L40" s="188"/>
      <c r="M40" s="200"/>
      <c r="N40" s="202"/>
      <c r="O40" s="202"/>
      <c r="P40" s="137"/>
    </row>
    <row r="41" spans="1:18" s="10" customFormat="1" ht="14.4" thickTop="1" thickBot="1" x14ac:dyDescent="0.3">
      <c r="A41" s="48" t="s">
        <v>83</v>
      </c>
      <c r="B41" s="49">
        <f t="shared" si="1"/>
        <v>0.46458333333333324</v>
      </c>
      <c r="C41" s="219">
        <v>30</v>
      </c>
      <c r="D41" s="190" t="str">
        <f>f3b</f>
        <v/>
      </c>
      <c r="E41" s="187" t="s">
        <v>30</v>
      </c>
      <c r="F41" s="188"/>
      <c r="G41" s="190"/>
      <c r="H41" s="190"/>
      <c r="I41" s="188"/>
      <c r="J41" s="187" t="s">
        <v>34</v>
      </c>
      <c r="K41" s="190" t="str">
        <f>f4y</f>
        <v/>
      </c>
      <c r="L41" s="188"/>
      <c r="M41" s="200"/>
      <c r="N41" s="202"/>
      <c r="O41" s="204"/>
      <c r="P41" s="137"/>
    </row>
    <row r="42" spans="1:18" s="10" customFormat="1" ht="14.4" thickTop="1" thickBot="1" x14ac:dyDescent="0.3">
      <c r="A42" s="48" t="s">
        <v>83</v>
      </c>
      <c r="B42" s="49">
        <f t="shared" si="1"/>
        <v>0.48333333333333323</v>
      </c>
      <c r="C42" s="219">
        <v>31</v>
      </c>
      <c r="D42" s="190" t="str">
        <f>f1_1x</f>
        <v/>
      </c>
      <c r="E42" s="187" t="s">
        <v>37</v>
      </c>
      <c r="F42" s="188"/>
      <c r="G42" s="190"/>
      <c r="H42" s="190"/>
      <c r="I42" s="188"/>
      <c r="J42" s="187" t="s">
        <v>49</v>
      </c>
      <c r="K42" s="190" t="str">
        <f>f1_2g</f>
        <v/>
      </c>
      <c r="L42" s="188"/>
      <c r="M42" s="200"/>
      <c r="N42" s="202"/>
      <c r="O42" s="202"/>
      <c r="P42" s="138"/>
    </row>
    <row r="43" spans="1:18" s="10" customFormat="1" ht="14.4" thickTop="1" thickBot="1" x14ac:dyDescent="0.3">
      <c r="A43" s="48" t="s">
        <v>83</v>
      </c>
      <c r="B43" s="49">
        <f t="shared" si="1"/>
        <v>0.50208333333333321</v>
      </c>
      <c r="C43" s="219">
        <v>32</v>
      </c>
      <c r="D43" s="190" t="str">
        <f>f2_1y</f>
        <v/>
      </c>
      <c r="E43" s="187" t="s">
        <v>38</v>
      </c>
      <c r="F43" s="188"/>
      <c r="G43" s="190"/>
      <c r="H43" s="190"/>
      <c r="I43" s="188"/>
      <c r="J43" s="187" t="s">
        <v>48</v>
      </c>
      <c r="K43" s="190" t="str">
        <f>f2_1g</f>
        <v/>
      </c>
      <c r="L43" s="188"/>
      <c r="M43" s="200"/>
      <c r="N43" s="204"/>
      <c r="O43" s="202"/>
      <c r="P43" s="137"/>
    </row>
    <row r="44" spans="1:18" s="10" customFormat="1" ht="14.4" thickTop="1" thickBot="1" x14ac:dyDescent="0.3">
      <c r="A44" s="48" t="s">
        <v>83</v>
      </c>
      <c r="B44" s="49">
        <f t="shared" si="1"/>
        <v>0.52083333333333326</v>
      </c>
      <c r="C44" s="219">
        <v>33</v>
      </c>
      <c r="D44" s="190" t="str">
        <f>f_3e</f>
        <v/>
      </c>
      <c r="E44" s="187" t="s">
        <v>39</v>
      </c>
      <c r="F44" s="188"/>
      <c r="G44" s="190"/>
      <c r="H44" s="190"/>
      <c r="I44" s="188"/>
      <c r="J44" s="198">
        <v>2</v>
      </c>
      <c r="K44" s="190" t="str">
        <f>f_2f</f>
        <v/>
      </c>
      <c r="L44" s="188"/>
      <c r="M44" s="200"/>
      <c r="N44" s="202"/>
      <c r="O44" s="202"/>
      <c r="P44" s="137"/>
    </row>
    <row r="45" spans="1:18" s="10" customFormat="1" ht="14.4" thickTop="1" thickBot="1" x14ac:dyDescent="0.3">
      <c r="A45" s="48" t="s">
        <v>83</v>
      </c>
      <c r="B45" s="49">
        <f t="shared" si="1"/>
        <v>0.5395833333333333</v>
      </c>
      <c r="C45" s="219">
        <v>34</v>
      </c>
      <c r="D45" s="190" t="str">
        <f>f_2e</f>
        <v/>
      </c>
      <c r="E45" s="187" t="s">
        <v>40</v>
      </c>
      <c r="F45" s="188"/>
      <c r="G45" s="190"/>
      <c r="H45" s="190"/>
      <c r="I45" s="188"/>
      <c r="J45" s="198">
        <v>3</v>
      </c>
      <c r="K45" s="190" t="str">
        <f>f_3f</f>
        <v/>
      </c>
      <c r="L45" s="188"/>
      <c r="M45" s="200"/>
      <c r="N45" s="202"/>
      <c r="O45" s="204"/>
      <c r="P45" s="137"/>
    </row>
    <row r="46" spans="1:18" s="10" customFormat="1" ht="14.4" thickTop="1" thickBot="1" x14ac:dyDescent="0.3">
      <c r="A46" s="48" t="s">
        <v>83</v>
      </c>
      <c r="B46" s="49">
        <f t="shared" si="1"/>
        <v>0.55833333333333335</v>
      </c>
      <c r="C46" s="219">
        <v>35</v>
      </c>
      <c r="D46" s="190" t="str">
        <f>f_4g</f>
        <v/>
      </c>
      <c r="E46" s="187" t="s">
        <v>41</v>
      </c>
      <c r="F46" s="188"/>
      <c r="G46" s="190"/>
      <c r="H46" s="190"/>
      <c r="I46" s="188"/>
      <c r="J46" s="198">
        <v>1</v>
      </c>
      <c r="K46" s="190" t="str">
        <f>f_1f</f>
        <v/>
      </c>
      <c r="L46" s="188"/>
      <c r="M46" s="200"/>
      <c r="N46" s="202"/>
      <c r="O46" s="202"/>
      <c r="P46" s="137"/>
      <c r="R46" s="216"/>
    </row>
    <row r="47" spans="1:18" s="10" customFormat="1" ht="14.4" thickTop="1" thickBot="1" x14ac:dyDescent="0.3">
      <c r="A47" s="48" t="s">
        <v>83</v>
      </c>
      <c r="B47" s="49">
        <f t="shared" si="1"/>
        <v>0.57708333333333339</v>
      </c>
      <c r="C47" s="219">
        <v>36</v>
      </c>
      <c r="D47" s="190" t="str">
        <f>f_3g</f>
        <v/>
      </c>
      <c r="E47" s="187" t="s">
        <v>42</v>
      </c>
      <c r="F47" s="188"/>
      <c r="G47" s="190"/>
      <c r="H47" s="190"/>
      <c r="I47" s="188"/>
      <c r="J47" s="187" t="s">
        <v>47</v>
      </c>
      <c r="K47" s="190" t="str">
        <f>f_1e</f>
        <v/>
      </c>
      <c r="L47" s="188"/>
      <c r="M47" s="200"/>
      <c r="N47" s="204"/>
      <c r="O47" s="202"/>
      <c r="P47" s="137"/>
      <c r="R47" s="216"/>
    </row>
    <row r="48" spans="1:18" s="10" customFormat="1" ht="14.4" thickTop="1" thickBot="1" x14ac:dyDescent="0.3">
      <c r="A48" s="48" t="s">
        <v>83</v>
      </c>
      <c r="B48" s="49">
        <f t="shared" si="1"/>
        <v>0.59583333333333344</v>
      </c>
      <c r="C48" s="219">
        <v>37</v>
      </c>
      <c r="D48" s="190" t="str">
        <f>f_291</f>
        <v xml:space="preserve"> </v>
      </c>
      <c r="E48" s="187">
        <v>291</v>
      </c>
      <c r="F48" s="188"/>
      <c r="G48" s="190"/>
      <c r="H48" s="190"/>
      <c r="I48" s="188"/>
      <c r="J48" s="187">
        <v>292</v>
      </c>
      <c r="K48" s="190" t="str">
        <f>f_292</f>
        <v xml:space="preserve"> </v>
      </c>
      <c r="L48" s="188"/>
      <c r="M48" s="200"/>
      <c r="N48" s="204"/>
      <c r="O48" s="204"/>
      <c r="P48" s="137"/>
    </row>
    <row r="49" spans="1:20" s="10" customFormat="1" ht="15" thickTop="1" thickBot="1" x14ac:dyDescent="0.3">
      <c r="A49" s="48" t="s">
        <v>83</v>
      </c>
      <c r="B49" s="49">
        <f t="shared" si="1"/>
        <v>0.61458333333333348</v>
      </c>
      <c r="C49" s="219">
        <v>38</v>
      </c>
      <c r="D49" s="190" t="str">
        <f>f_191</f>
        <v xml:space="preserve"> </v>
      </c>
      <c r="E49" s="187">
        <v>191</v>
      </c>
      <c r="F49" s="188"/>
      <c r="G49" s="190"/>
      <c r="H49" s="190"/>
      <c r="I49" s="188"/>
      <c r="J49" s="187">
        <v>192</v>
      </c>
      <c r="K49" s="190" t="str">
        <f>f_192</f>
        <v xml:space="preserve"> </v>
      </c>
      <c r="L49" s="188"/>
      <c r="M49" s="200"/>
      <c r="N49" s="204"/>
      <c r="O49" s="204"/>
      <c r="P49" s="45"/>
    </row>
    <row r="50" spans="1:20" s="10" customFormat="1" ht="14.4" thickTop="1" thickBot="1" x14ac:dyDescent="0.3">
      <c r="A50" s="48" t="s">
        <v>83</v>
      </c>
      <c r="B50" s="49">
        <f t="shared" si="1"/>
        <v>0.63333333333333353</v>
      </c>
      <c r="C50" s="219">
        <v>39</v>
      </c>
      <c r="D50" s="190" t="str">
        <f>f_252</f>
        <v xml:space="preserve"> </v>
      </c>
      <c r="E50" s="187">
        <v>251</v>
      </c>
      <c r="F50" s="188"/>
      <c r="G50" s="190"/>
      <c r="H50" s="190"/>
      <c r="I50" s="188"/>
      <c r="J50" s="187">
        <v>252</v>
      </c>
      <c r="K50" s="190" t="str">
        <f>f_251</f>
        <v xml:space="preserve"> </v>
      </c>
      <c r="L50" s="188"/>
      <c r="M50" s="200"/>
      <c r="N50" s="202"/>
      <c r="O50" s="202"/>
      <c r="P50" s="139"/>
    </row>
    <row r="51" spans="1:20" s="10" customFormat="1" ht="14.4" thickTop="1" thickBot="1" x14ac:dyDescent="0.3">
      <c r="A51" s="48" t="s">
        <v>83</v>
      </c>
      <c r="B51" s="49">
        <f t="shared" si="1"/>
        <v>0.65208333333333357</v>
      </c>
      <c r="C51" s="219">
        <v>40</v>
      </c>
      <c r="D51" s="190" t="str">
        <f>f_152</f>
        <v xml:space="preserve"> </v>
      </c>
      <c r="E51" s="187">
        <v>151</v>
      </c>
      <c r="F51" s="188"/>
      <c r="G51" s="190"/>
      <c r="H51" s="190"/>
      <c r="I51" s="188"/>
      <c r="J51" s="187">
        <v>152</v>
      </c>
      <c r="K51" s="190" t="str">
        <f>f_151</f>
        <v xml:space="preserve"> </v>
      </c>
      <c r="L51" s="188"/>
      <c r="M51" s="200"/>
      <c r="N51" s="202"/>
      <c r="O51" s="202"/>
      <c r="P51" s="139"/>
    </row>
    <row r="52" spans="1:20" s="10" customFormat="1" ht="14.4" thickTop="1" thickBot="1" x14ac:dyDescent="0.3">
      <c r="A52" s="48" t="s">
        <v>83</v>
      </c>
      <c r="B52" s="49">
        <f t="shared" si="1"/>
        <v>0.67083333333333361</v>
      </c>
      <c r="C52" s="219">
        <v>41</v>
      </c>
      <c r="D52" s="190" t="str">
        <f>f_2f1</f>
        <v xml:space="preserve"> </v>
      </c>
      <c r="E52" s="187" t="s">
        <v>43</v>
      </c>
      <c r="F52" s="188"/>
      <c r="G52" s="190"/>
      <c r="H52" s="190"/>
      <c r="I52" s="188"/>
      <c r="J52" s="187" t="s">
        <v>46</v>
      </c>
      <c r="K52" s="190" t="str">
        <f>f_2f2</f>
        <v xml:space="preserve"> </v>
      </c>
      <c r="L52" s="188"/>
      <c r="M52" s="200"/>
      <c r="N52" s="202"/>
      <c r="O52" s="202"/>
      <c r="P52" s="137"/>
    </row>
    <row r="53" spans="1:20" s="10" customFormat="1" ht="14.4" thickTop="1" thickBot="1" x14ac:dyDescent="0.3">
      <c r="A53" s="48" t="s">
        <v>83</v>
      </c>
      <c r="B53" s="49">
        <f t="shared" si="1"/>
        <v>0.68958333333333366</v>
      </c>
      <c r="C53" s="219">
        <v>42</v>
      </c>
      <c r="D53" s="190" t="str">
        <f>f_1f1</f>
        <v xml:space="preserve"> </v>
      </c>
      <c r="E53" s="187" t="s">
        <v>44</v>
      </c>
      <c r="F53" s="188"/>
      <c r="G53" s="190"/>
      <c r="H53" s="190"/>
      <c r="I53" s="188"/>
      <c r="J53" s="187" t="s">
        <v>45</v>
      </c>
      <c r="K53" s="190" t="str">
        <f>f_1f2</f>
        <v xml:space="preserve"> </v>
      </c>
      <c r="L53" s="188"/>
      <c r="M53" s="200"/>
      <c r="N53" s="202"/>
      <c r="O53" s="202"/>
      <c r="P53" s="137"/>
    </row>
    <row r="54" spans="1:20" s="10" customFormat="1" ht="14.4" thickTop="1" thickBot="1" x14ac:dyDescent="0.3">
      <c r="A54" s="48" t="s">
        <v>83</v>
      </c>
      <c r="B54" s="49">
        <f t="shared" si="1"/>
        <v>0.7083333333333337</v>
      </c>
      <c r="C54" s="43"/>
      <c r="D54" s="42"/>
      <c r="E54" s="42"/>
      <c r="F54" s="15"/>
      <c r="G54" s="44"/>
      <c r="H54" s="44"/>
      <c r="I54" s="15"/>
      <c r="J54" s="42"/>
      <c r="K54" s="42"/>
      <c r="L54" s="15"/>
      <c r="M54"/>
      <c r="N54"/>
      <c r="O54"/>
      <c r="P54"/>
    </row>
    <row r="55" spans="1:20" ht="13.8" thickTop="1" x14ac:dyDescent="0.25">
      <c r="A55" s="10"/>
      <c r="B55" s="10"/>
      <c r="C55" s="10"/>
      <c r="E55" s="10"/>
      <c r="F55" s="10"/>
      <c r="G55" s="14"/>
      <c r="H55" s="14"/>
      <c r="I55" s="10"/>
      <c r="J55" s="10"/>
      <c r="L55" s="10"/>
      <c r="Q55" s="10"/>
      <c r="R55" s="10"/>
      <c r="S55" s="10"/>
      <c r="T55" s="10"/>
    </row>
  </sheetData>
  <mergeCells count="11">
    <mergeCell ref="I1:P1"/>
    <mergeCell ref="G2:H2"/>
    <mergeCell ref="I2:P2"/>
    <mergeCell ref="K3:P3"/>
    <mergeCell ref="B4:I4"/>
    <mergeCell ref="D5:O5"/>
    <mergeCell ref="N8:O8"/>
    <mergeCell ref="M7:O7"/>
    <mergeCell ref="A5:C5"/>
    <mergeCell ref="J4:L4"/>
    <mergeCell ref="M4:P4"/>
  </mergeCells>
  <phoneticPr fontId="0" type="noConversion"/>
  <printOptions horizontalCentered="1" verticalCentered="1"/>
  <pageMargins left="0.59055118110236227" right="0.31496062992125984" top="0.39370078740157483" bottom="0.43307086614173229" header="0.31496062992125984" footer="0.27559055118110237"/>
  <pageSetup paperSize="9" scale="79" fitToHeight="2" orientation="landscape" horizontalDpi="4294967293" verticalDpi="300" r:id="rId1"/>
  <headerFooter alignWithMargins="0"/>
  <rowBreaks count="1" manualBreakCount="1">
    <brk id="33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A58"/>
  <sheetViews>
    <sheetView topLeftCell="A6" zoomScale="95" zoomScaleNormal="100" workbookViewId="0">
      <selection activeCell="C10" sqref="C10"/>
    </sheetView>
  </sheetViews>
  <sheetFormatPr baseColWidth="10" defaultColWidth="11.44140625" defaultRowHeight="15.6" x14ac:dyDescent="0.3"/>
  <cols>
    <col min="1" max="1" width="10.6640625" style="16" customWidth="1"/>
    <col min="2" max="2" width="4.88671875" style="16" customWidth="1"/>
    <col min="3" max="3" width="23.6640625" style="16" customWidth="1"/>
    <col min="4" max="5" width="4.88671875" style="16" customWidth="1"/>
    <col min="6" max="7" width="4.88671875" style="17" customWidth="1"/>
    <col min="8" max="10" width="4.88671875" style="16" customWidth="1"/>
    <col min="11" max="11" width="6" style="16" customWidth="1"/>
    <col min="12" max="12" width="6.109375" style="16" customWidth="1"/>
    <col min="13" max="13" width="5.6640625" style="16" customWidth="1"/>
    <col min="14" max="14" width="5.88671875" style="16" customWidth="1"/>
    <col min="15" max="15" width="6.88671875" style="16" customWidth="1"/>
    <col min="16" max="16" width="23.33203125" style="16" customWidth="1"/>
    <col min="17" max="21" width="4.6640625" style="16" customWidth="1"/>
    <col min="22" max="24" width="4.5546875" style="16" customWidth="1"/>
    <col min="25" max="25" width="6.109375" style="16" customWidth="1"/>
    <col min="26" max="26" width="6" style="16" customWidth="1"/>
    <col min="27" max="27" width="8.33203125" style="16" customWidth="1"/>
    <col min="28" max="16384" width="11.44140625" style="16"/>
  </cols>
  <sheetData>
    <row r="1" spans="1:27" s="94" customFormat="1" ht="27.75" customHeight="1" thickBot="1" x14ac:dyDescent="0.3">
      <c r="F1" s="95"/>
      <c r="G1" s="96" t="s">
        <v>119</v>
      </c>
      <c r="H1" s="97"/>
      <c r="I1" s="247" t="str">
        <f>saison</f>
        <v>2016 - 2017</v>
      </c>
      <c r="J1" s="247"/>
      <c r="K1" s="247"/>
      <c r="L1" s="247"/>
      <c r="M1" s="247"/>
      <c r="N1" s="247"/>
      <c r="O1" s="247"/>
      <c r="P1" s="247"/>
    </row>
    <row r="2" spans="1:27" s="94" customFormat="1" ht="27.75" customHeight="1" x14ac:dyDescent="0.25">
      <c r="F2" s="95"/>
      <c r="G2" s="243" t="s">
        <v>120</v>
      </c>
      <c r="H2" s="244"/>
      <c r="I2" s="245" t="str">
        <f>lieu</f>
        <v xml:space="preserve">LAGNY </v>
      </c>
      <c r="J2" s="246"/>
      <c r="K2" s="246"/>
      <c r="L2" s="246"/>
      <c r="M2" s="246"/>
      <c r="N2" s="246"/>
      <c r="O2" s="246"/>
      <c r="P2" s="248"/>
      <c r="T2" s="250" t="s">
        <v>166</v>
      </c>
      <c r="U2" s="251"/>
      <c r="V2" s="251"/>
      <c r="W2" s="251"/>
      <c r="X2" s="251"/>
      <c r="Y2" s="251"/>
      <c r="Z2" s="251"/>
      <c r="AA2" s="252"/>
    </row>
    <row r="3" spans="1:27" s="97" customFormat="1" ht="25.5" customHeight="1" thickBot="1" x14ac:dyDescent="0.3">
      <c r="K3" s="249" t="s">
        <v>121</v>
      </c>
      <c r="L3" s="249"/>
      <c r="M3" s="249"/>
      <c r="N3" s="249"/>
      <c r="O3" s="249"/>
      <c r="P3" s="249"/>
      <c r="Q3" s="249"/>
      <c r="R3" s="249"/>
      <c r="S3" s="249"/>
      <c r="T3" s="253"/>
      <c r="U3" s="254"/>
      <c r="V3" s="254"/>
      <c r="W3" s="254"/>
      <c r="X3" s="254"/>
      <c r="Y3" s="254"/>
      <c r="Z3" s="254"/>
      <c r="AA3" s="255"/>
    </row>
    <row r="4" spans="1:27" s="97" customFormat="1" ht="21" customHeight="1" x14ac:dyDescent="0.25">
      <c r="A4" s="96" t="s">
        <v>122</v>
      </c>
      <c r="C4" s="247" t="str">
        <f>date</f>
        <v>6 et 7 mai 2017</v>
      </c>
      <c r="D4" s="247"/>
      <c r="E4" s="247"/>
      <c r="F4" s="247"/>
      <c r="G4" s="247"/>
      <c r="H4" s="247"/>
      <c r="I4" s="247"/>
      <c r="J4" s="247"/>
      <c r="L4" s="243" t="s">
        <v>123</v>
      </c>
      <c r="M4" s="243"/>
      <c r="N4" s="244"/>
      <c r="O4" s="245" t="str">
        <f>catégorie</f>
        <v>BENJAMINS</v>
      </c>
      <c r="P4" s="246"/>
      <c r="Q4" s="246"/>
      <c r="R4" s="246"/>
      <c r="S4" s="248"/>
    </row>
    <row r="5" spans="1:27" s="94" customFormat="1" ht="18" customHeight="1" x14ac:dyDescent="0.25">
      <c r="A5" s="98"/>
      <c r="B5" s="242" t="s">
        <v>124</v>
      </c>
      <c r="C5" s="242"/>
      <c r="D5" s="242"/>
      <c r="E5" s="236" t="str">
        <f>duréematch</f>
        <v>2*10' +2' de mi-temps +1' temps mort par  équipe +3' inter-match = 27'</v>
      </c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98"/>
      <c r="U5" s="98"/>
      <c r="V5" s="98"/>
      <c r="W5" s="98"/>
      <c r="X5" s="98"/>
    </row>
    <row r="6" spans="1:27" ht="15.75" customHeight="1" x14ac:dyDescent="0.3">
      <c r="A6" s="36"/>
      <c r="B6" s="36"/>
      <c r="C6" s="36"/>
      <c r="D6" s="36"/>
      <c r="E6" s="36"/>
      <c r="F6" s="37"/>
      <c r="G6" s="37"/>
      <c r="H6" s="36"/>
      <c r="I6" s="261" t="s">
        <v>111</v>
      </c>
      <c r="J6" s="261"/>
      <c r="K6" s="261" t="s">
        <v>112</v>
      </c>
      <c r="L6" s="261"/>
      <c r="M6" s="80"/>
      <c r="N6" s="80"/>
      <c r="O6" s="36"/>
      <c r="P6" s="36"/>
      <c r="Q6" s="36"/>
      <c r="R6" s="36"/>
      <c r="S6" s="36"/>
      <c r="T6" s="37"/>
      <c r="U6" s="36"/>
      <c r="V6" s="261" t="s">
        <v>111</v>
      </c>
      <c r="W6" s="261"/>
      <c r="X6" s="261" t="s">
        <v>112</v>
      </c>
      <c r="Y6" s="261"/>
    </row>
    <row r="7" spans="1:27" thickBot="1" x14ac:dyDescent="0.3">
      <c r="B7" s="18"/>
      <c r="C7" s="18" t="s">
        <v>54</v>
      </c>
      <c r="D7" s="185">
        <v>1</v>
      </c>
      <c r="E7" s="185">
        <v>5</v>
      </c>
      <c r="F7" s="185">
        <v>9</v>
      </c>
      <c r="G7" s="79" t="s">
        <v>109</v>
      </c>
      <c r="H7" s="79" t="s">
        <v>110</v>
      </c>
      <c r="I7" s="262"/>
      <c r="J7" s="262"/>
      <c r="K7" s="262"/>
      <c r="L7" s="262"/>
      <c r="O7" s="18"/>
      <c r="P7" s="18" t="s">
        <v>55</v>
      </c>
      <c r="Q7" s="185">
        <v>2</v>
      </c>
      <c r="R7" s="185">
        <v>6</v>
      </c>
      <c r="S7" s="185">
        <v>10</v>
      </c>
      <c r="T7" s="79" t="s">
        <v>109</v>
      </c>
      <c r="U7" s="79" t="s">
        <v>110</v>
      </c>
      <c r="V7" s="262"/>
      <c r="W7" s="262"/>
      <c r="X7" s="262"/>
      <c r="Y7" s="262"/>
    </row>
    <row r="8" spans="1:27" s="148" customFormat="1" ht="18.75" customHeight="1" thickTop="1" thickBot="1" x14ac:dyDescent="0.3">
      <c r="B8" s="149" t="s">
        <v>7</v>
      </c>
      <c r="C8" s="147" t="str">
        <f>_pa1</f>
        <v>NEUILLY</v>
      </c>
      <c r="D8" s="150" t="str">
        <f>m1n</f>
        <v/>
      </c>
      <c r="E8" s="151"/>
      <c r="F8" s="152" t="str">
        <f>m9b</f>
        <v/>
      </c>
      <c r="G8" s="153" t="str">
        <f>IF(SUM(D8:F8)=0,"",SUM(D8:F8))</f>
        <v/>
      </c>
      <c r="H8" s="154" t="str">
        <f>IF(F$8="","",RANK(G8,$G$8:$G$10))</f>
        <v/>
      </c>
      <c r="I8" s="260" t="str">
        <f>IF(H8="","",calcul!K43)</f>
        <v/>
      </c>
      <c r="J8" s="260"/>
      <c r="K8" s="260" t="str">
        <f>IF(H8="","",calcul!L43)</f>
        <v/>
      </c>
      <c r="L8" s="260"/>
      <c r="M8" s="155"/>
      <c r="N8" s="156"/>
      <c r="O8" s="149" t="s">
        <v>9</v>
      </c>
      <c r="P8" s="147" t="str">
        <f>_pb2</f>
        <v>FONTENAY</v>
      </c>
      <c r="Q8" s="150" t="str">
        <f>m2n</f>
        <v/>
      </c>
      <c r="R8" s="151"/>
      <c r="S8" s="152" t="str">
        <f>m10b</f>
        <v/>
      </c>
      <c r="T8" s="153" t="str">
        <f>IF(SUM(Q8:S8)=0,"",SUM(Q8:S8))</f>
        <v/>
      </c>
      <c r="U8" s="154" t="str">
        <f>IF(S$8="","",RANK(T8,T$8:T$10))</f>
        <v/>
      </c>
      <c r="V8" s="260" t="str">
        <f>IF(U8="","",calcul!K46)</f>
        <v/>
      </c>
      <c r="W8" s="260"/>
      <c r="X8" s="260" t="str">
        <f>IF(U8="","",calcul!L46)</f>
        <v/>
      </c>
      <c r="Y8" s="260"/>
    </row>
    <row r="9" spans="1:27" s="148" customFormat="1" ht="18.75" customHeight="1" thickTop="1" thickBot="1" x14ac:dyDescent="0.3">
      <c r="B9" s="157" t="s">
        <v>8</v>
      </c>
      <c r="C9" s="147" t="str">
        <f>_pa5</f>
        <v>LA GUERCHE</v>
      </c>
      <c r="D9" s="152" t="str">
        <f>m1b</f>
        <v/>
      </c>
      <c r="E9" s="150" t="str">
        <f>m5n</f>
        <v/>
      </c>
      <c r="F9" s="151"/>
      <c r="G9" s="153" t="str">
        <f>IF(SUM(D9:F9)=0,"",SUM(D9:F9))</f>
        <v/>
      </c>
      <c r="H9" s="154" t="str">
        <f>IF(F$8="","",RANK(G9,$G$8:$G$10))</f>
        <v/>
      </c>
      <c r="I9" s="260" t="str">
        <f>IF(H9="","",calcul!K44)</f>
        <v/>
      </c>
      <c r="J9" s="260"/>
      <c r="K9" s="260" t="str">
        <f>IF(H9="","",calcul!L44)</f>
        <v/>
      </c>
      <c r="L9" s="260"/>
      <c r="M9" s="155"/>
      <c r="N9" s="156"/>
      <c r="O9" s="157" t="s">
        <v>12</v>
      </c>
      <c r="P9" s="147" t="str">
        <f>_pb6</f>
        <v>LE CHESNAY/CLAMART</v>
      </c>
      <c r="Q9" s="152" t="str">
        <f>ma2b</f>
        <v/>
      </c>
      <c r="R9" s="150" t="str">
        <f>m6n</f>
        <v/>
      </c>
      <c r="S9" s="151"/>
      <c r="T9" s="153" t="str">
        <f>IF(SUM(Q9:S9)=0,"",SUM(Q9:S9))</f>
        <v/>
      </c>
      <c r="U9" s="154" t="str">
        <f>IF(S$8="","",RANK(T9,T$8:T$10))</f>
        <v/>
      </c>
      <c r="V9" s="260" t="str">
        <f>IF(U9="","",calcul!K47)</f>
        <v/>
      </c>
      <c r="W9" s="260"/>
      <c r="X9" s="260" t="str">
        <f>IF(U9="","",calcul!L47)</f>
        <v/>
      </c>
      <c r="Y9" s="260"/>
    </row>
    <row r="10" spans="1:27" s="148" customFormat="1" ht="18.75" customHeight="1" thickTop="1" thickBot="1" x14ac:dyDescent="0.3">
      <c r="B10" s="158" t="s">
        <v>15</v>
      </c>
      <c r="C10" s="233" t="str">
        <f>_pa9</f>
        <v>LAGNY 2</v>
      </c>
      <c r="D10" s="151"/>
      <c r="E10" s="152" t="str">
        <f>m5b</f>
        <v/>
      </c>
      <c r="F10" s="159" t="str">
        <f>m9n</f>
        <v/>
      </c>
      <c r="G10" s="153" t="str">
        <f>IF(SUM(D10:F10)=0,"",SUM(D10:F10))</f>
        <v/>
      </c>
      <c r="H10" s="154" t="str">
        <f>IF(F$8="","",RANK(G10,$G$8:$G$10))</f>
        <v/>
      </c>
      <c r="I10" s="260" t="str">
        <f>IF(H10="","",calcul!K45)</f>
        <v/>
      </c>
      <c r="J10" s="260"/>
      <c r="K10" s="260" t="str">
        <f>IF(H10="","",calcul!L45)</f>
        <v/>
      </c>
      <c r="L10" s="260"/>
      <c r="M10" s="155"/>
      <c r="N10" s="156"/>
      <c r="O10" s="158" t="s">
        <v>16</v>
      </c>
      <c r="P10" s="147" t="str">
        <f>_pb10</f>
        <v>MOIRANS</v>
      </c>
      <c r="Q10" s="151"/>
      <c r="R10" s="152" t="str">
        <f>m6b</f>
        <v/>
      </c>
      <c r="S10" s="159" t="str">
        <f>m10n</f>
        <v/>
      </c>
      <c r="T10" s="153" t="str">
        <f>IF(SUM(Q10:S10)=0,"",SUM(Q10:S10))</f>
        <v/>
      </c>
      <c r="U10" s="154" t="str">
        <f>IF(S$8="","",RANK(T10,T$8:T$10))</f>
        <v/>
      </c>
      <c r="V10" s="260" t="str">
        <f>IF(U10="","",calcul!K48)</f>
        <v/>
      </c>
      <c r="W10" s="260"/>
      <c r="X10" s="260" t="str">
        <f>IF(U10="","",calcul!L48)</f>
        <v/>
      </c>
      <c r="Y10" s="260"/>
    </row>
    <row r="11" spans="1:27" s="148" customFormat="1" ht="18.75" customHeight="1" x14ac:dyDescent="0.25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X11" s="161"/>
    </row>
    <row r="12" spans="1:27" s="148" customFormat="1" x14ac:dyDescent="0.25">
      <c r="B12" s="156"/>
      <c r="C12" s="156"/>
      <c r="D12" s="162"/>
      <c r="E12" s="163"/>
      <c r="F12" s="164"/>
      <c r="G12" s="165"/>
      <c r="H12" s="166"/>
      <c r="I12" s="261" t="s">
        <v>111</v>
      </c>
      <c r="J12" s="261"/>
      <c r="K12" s="261" t="s">
        <v>112</v>
      </c>
      <c r="L12" s="261"/>
      <c r="M12" s="162"/>
      <c r="N12" s="156"/>
      <c r="O12" s="156"/>
      <c r="P12" s="156"/>
      <c r="Q12" s="162"/>
      <c r="R12" s="162"/>
      <c r="S12" s="162"/>
      <c r="T12" s="165"/>
      <c r="U12" s="166"/>
      <c r="V12" s="261" t="s">
        <v>111</v>
      </c>
      <c r="W12" s="261"/>
      <c r="X12" s="261" t="s">
        <v>112</v>
      </c>
      <c r="Y12" s="261"/>
    </row>
    <row r="13" spans="1:27" s="148" customFormat="1" ht="16.5" customHeight="1" thickBot="1" x14ac:dyDescent="0.3">
      <c r="B13" s="156"/>
      <c r="C13" s="156" t="s">
        <v>56</v>
      </c>
      <c r="D13" s="185">
        <v>3</v>
      </c>
      <c r="E13" s="185">
        <v>7</v>
      </c>
      <c r="F13" s="185">
        <v>11</v>
      </c>
      <c r="G13" s="79" t="s">
        <v>109</v>
      </c>
      <c r="H13" s="79" t="s">
        <v>110</v>
      </c>
      <c r="I13" s="262"/>
      <c r="J13" s="262"/>
      <c r="K13" s="262"/>
      <c r="L13" s="262"/>
      <c r="M13" s="162"/>
      <c r="N13" s="156"/>
      <c r="O13" s="156"/>
      <c r="P13" s="156" t="s">
        <v>57</v>
      </c>
      <c r="Q13" s="185">
        <v>4</v>
      </c>
      <c r="R13" s="185">
        <v>8</v>
      </c>
      <c r="S13" s="185">
        <v>12</v>
      </c>
      <c r="T13" s="79" t="s">
        <v>109</v>
      </c>
      <c r="U13" s="79" t="s">
        <v>110</v>
      </c>
      <c r="V13" s="262"/>
      <c r="W13" s="262"/>
      <c r="X13" s="262"/>
      <c r="Y13" s="262"/>
    </row>
    <row r="14" spans="1:27" s="148" customFormat="1" ht="18" customHeight="1" thickTop="1" thickBot="1" x14ac:dyDescent="0.3">
      <c r="B14" s="149" t="s">
        <v>10</v>
      </c>
      <c r="C14" s="147" t="str">
        <f>_pc3</f>
        <v>PONTOISE</v>
      </c>
      <c r="D14" s="150" t="str">
        <f>m3n</f>
        <v/>
      </c>
      <c r="E14" s="151"/>
      <c r="F14" s="152" t="str">
        <f>m11b</f>
        <v/>
      </c>
      <c r="G14" s="153" t="str">
        <f>IF(SUM(D14:F14)=0,"",SUM(D14:F14))</f>
        <v/>
      </c>
      <c r="H14" s="154" t="str">
        <f>IF(F$14="","",RANK(G14,G$14:G$16))</f>
        <v/>
      </c>
      <c r="I14" s="260" t="str">
        <f>IF(H14="","",calcul!K49)</f>
        <v/>
      </c>
      <c r="J14" s="260"/>
      <c r="K14" s="260" t="str">
        <f>IF(H14="","",calcul!L49)</f>
        <v/>
      </c>
      <c r="L14" s="260"/>
      <c r="M14" s="155"/>
      <c r="N14" s="156"/>
      <c r="O14" s="149" t="s">
        <v>11</v>
      </c>
      <c r="P14" s="147" t="str">
        <f>_pd4</f>
        <v>PESSAC</v>
      </c>
      <c r="Q14" s="150" t="str">
        <f>m4n</f>
        <v/>
      </c>
      <c r="R14" s="151"/>
      <c r="S14" s="152" t="str">
        <f>m12b</f>
        <v/>
      </c>
      <c r="T14" s="153" t="str">
        <f>IF(SUM(Q14:S14)=0,"",SUM(Q14:S14))</f>
        <v/>
      </c>
      <c r="U14" s="154" t="str">
        <f>IF(S$14="","",RANK(T14,T$14:T$16))</f>
        <v/>
      </c>
      <c r="V14" s="260" t="str">
        <f>IF(U14="","",calcul!K52)</f>
        <v/>
      </c>
      <c r="W14" s="260"/>
      <c r="X14" s="260" t="str">
        <f>IF(U14="","",calcul!L52)</f>
        <v/>
      </c>
      <c r="Y14" s="260"/>
    </row>
    <row r="15" spans="1:27" s="148" customFormat="1" ht="18" customHeight="1" thickTop="1" thickBot="1" x14ac:dyDescent="0.3">
      <c r="B15" s="157" t="s">
        <v>13</v>
      </c>
      <c r="C15" s="233" t="str">
        <f>_pc7</f>
        <v>LILLE</v>
      </c>
      <c r="D15" s="152" t="str">
        <f>m3b</f>
        <v/>
      </c>
      <c r="E15" s="150" t="str">
        <f>m7n</f>
        <v/>
      </c>
      <c r="F15" s="151"/>
      <c r="G15" s="153" t="str">
        <f>IF(SUM(D15:F15)=0,"",SUM(D15:F15))</f>
        <v/>
      </c>
      <c r="H15" s="154" t="str">
        <f>IF(F$14="","",RANK(G15,G$14:G$16))</f>
        <v/>
      </c>
      <c r="I15" s="260" t="str">
        <f>IF(H15="","",calcul!K50)</f>
        <v/>
      </c>
      <c r="J15" s="260"/>
      <c r="K15" s="260" t="str">
        <f>IF(H15="","",calcul!L50)</f>
        <v/>
      </c>
      <c r="L15" s="260"/>
      <c r="M15" s="155"/>
      <c r="N15" s="156"/>
      <c r="O15" s="157" t="s">
        <v>14</v>
      </c>
      <c r="P15" s="147" t="str">
        <f>_pd8</f>
        <v>LAGNY</v>
      </c>
      <c r="Q15" s="152" t="str">
        <f>m4b</f>
        <v/>
      </c>
      <c r="R15" s="150" t="str">
        <f>m8n</f>
        <v/>
      </c>
      <c r="S15" s="151"/>
      <c r="T15" s="153" t="str">
        <f>IF(SUM(Q15:S15)=0,"",SUM(Q15:S15))</f>
        <v/>
      </c>
      <c r="U15" s="154" t="str">
        <f>IF(S$14="","",RANK(T15,T$14:T$16))</f>
        <v/>
      </c>
      <c r="V15" s="260" t="str">
        <f>IF(U15="","",calcul!K53)</f>
        <v/>
      </c>
      <c r="W15" s="260"/>
      <c r="X15" s="260" t="str">
        <f>IF(U15="","",calcul!L53)</f>
        <v/>
      </c>
      <c r="Y15" s="260"/>
    </row>
    <row r="16" spans="1:27" s="148" customFormat="1" ht="18" customHeight="1" thickTop="1" thickBot="1" x14ac:dyDescent="0.3">
      <c r="B16" s="158" t="s">
        <v>17</v>
      </c>
      <c r="C16" s="147" t="str">
        <f>_pc11</f>
        <v>LAGNY3/HYERES</v>
      </c>
      <c r="D16" s="151"/>
      <c r="E16" s="152" t="str">
        <f>m7b</f>
        <v/>
      </c>
      <c r="F16" s="159" t="str">
        <f>M11N</f>
        <v/>
      </c>
      <c r="G16" s="153" t="str">
        <f>IF(SUM(D16:F16)=0,"",SUM(D16:F16))</f>
        <v/>
      </c>
      <c r="H16" s="154" t="str">
        <f>IF(F$14="","",RANK(G16,G$14:G$16))</f>
        <v/>
      </c>
      <c r="I16" s="260" t="str">
        <f>IF(H16="","",calcul!K51)</f>
        <v/>
      </c>
      <c r="J16" s="260"/>
      <c r="K16" s="260" t="str">
        <f>IF(H16="","",calcul!L51)</f>
        <v/>
      </c>
      <c r="L16" s="260"/>
      <c r="M16" s="155"/>
      <c r="N16" s="156"/>
      <c r="O16" s="158" t="s">
        <v>18</v>
      </c>
      <c r="P16" s="147" t="str">
        <f>_pd12</f>
        <v>COMBOURG/QUIMPERLE</v>
      </c>
      <c r="Q16" s="151"/>
      <c r="R16" s="152" t="str">
        <f>m8b</f>
        <v/>
      </c>
      <c r="S16" s="159" t="str">
        <f>m12n</f>
        <v/>
      </c>
      <c r="T16" s="153" t="str">
        <f>IF(SUM(Q16:S16)=0,"",SUM(Q16:S16))</f>
        <v/>
      </c>
      <c r="U16" s="154" t="str">
        <f>IF(S$14="","",RANK(T16,T$14:T$16))</f>
        <v/>
      </c>
      <c r="V16" s="260" t="str">
        <f>IF(U16="","",calcul!K54)</f>
        <v/>
      </c>
      <c r="W16" s="260"/>
      <c r="X16" s="260" t="str">
        <f>IF(U16="","",calcul!L54)</f>
        <v/>
      </c>
      <c r="Y16" s="260"/>
    </row>
    <row r="17" spans="2:26" ht="15.75" customHeight="1" x14ac:dyDescent="0.3">
      <c r="B17" s="18"/>
      <c r="C17" s="18"/>
      <c r="D17" s="40"/>
      <c r="E17" s="40"/>
      <c r="F17" s="19"/>
      <c r="G17" s="19"/>
      <c r="H17" s="40"/>
      <c r="I17" s="40"/>
      <c r="J17" s="40"/>
      <c r="K17" s="40"/>
      <c r="L17" s="256" t="s">
        <v>111</v>
      </c>
      <c r="M17" s="258" t="s">
        <v>112</v>
      </c>
      <c r="O17" s="18"/>
      <c r="P17" s="18"/>
      <c r="Q17" s="40"/>
      <c r="R17" s="40"/>
      <c r="S17" s="40"/>
      <c r="T17" s="40"/>
      <c r="U17" s="40"/>
      <c r="V17" s="40"/>
      <c r="W17" s="40"/>
      <c r="X17" s="40"/>
      <c r="Y17" s="256" t="s">
        <v>111</v>
      </c>
      <c r="Z17" s="258" t="s">
        <v>112</v>
      </c>
    </row>
    <row r="18" spans="2:26" thickBot="1" x14ac:dyDescent="0.3">
      <c r="B18" s="18"/>
      <c r="C18" s="18" t="s">
        <v>59</v>
      </c>
      <c r="D18" s="185"/>
      <c r="E18" s="185"/>
      <c r="F18" s="185">
        <v>13</v>
      </c>
      <c r="G18" s="185">
        <v>14</v>
      </c>
      <c r="H18" s="185">
        <v>17</v>
      </c>
      <c r="I18" s="185">
        <v>18</v>
      </c>
      <c r="J18" s="79" t="s">
        <v>109</v>
      </c>
      <c r="K18" s="79" t="s">
        <v>110</v>
      </c>
      <c r="L18" s="257"/>
      <c r="M18" s="257"/>
      <c r="O18" s="18"/>
      <c r="P18" s="18" t="s">
        <v>58</v>
      </c>
      <c r="Q18" s="185"/>
      <c r="R18" s="185"/>
      <c r="S18" s="185">
        <v>15</v>
      </c>
      <c r="T18" s="185">
        <v>16</v>
      </c>
      <c r="U18" s="185">
        <v>19</v>
      </c>
      <c r="V18" s="185">
        <v>20</v>
      </c>
      <c r="W18" s="79" t="s">
        <v>109</v>
      </c>
      <c r="X18" s="79" t="s">
        <v>110</v>
      </c>
      <c r="Y18" s="257"/>
      <c r="Z18" s="257"/>
    </row>
    <row r="19" spans="2:26" ht="16.2" thickTop="1" thickBot="1" x14ac:dyDescent="0.3">
      <c r="B19" s="20" t="s">
        <v>19</v>
      </c>
      <c r="C19" s="21" t="str">
        <f>IF(H8=1,C8,IF(H9=1,C9,IF(H10=1,C10,"")))</f>
        <v/>
      </c>
      <c r="D19" s="29" t="str">
        <f>IF(x1a="","",IF(AND(H8=1,H9=2),D8,IF(AND(H8=1,H10=2),F8,IF(AND(H9=1,H8=2),D9,IF(AND(H9=1,H10=2),E9,IF(AND(H10=1,H8=2),F10,IF(AND(H10=1,H9=2),E10,0)))))))</f>
        <v/>
      </c>
      <c r="E19" s="118"/>
      <c r="F19" s="29" t="str">
        <f>m13n</f>
        <v/>
      </c>
      <c r="G19" s="118"/>
      <c r="H19" s="29" t="str">
        <f>m17b</f>
        <v/>
      </c>
      <c r="I19" s="118"/>
      <c r="J19" s="23" t="str">
        <f>IF(SUM(D19:I19)=0,"",SUM(D19:I19))</f>
        <v/>
      </c>
      <c r="K19" s="81" t="str">
        <f>IF(I$20="","",RANK(J19,J$19:J$22))</f>
        <v/>
      </c>
      <c r="L19" s="217" t="str">
        <f>IF(K19="","",GETPIVOTDATA("Somme de Nb de but encaissés",calcul!$J$60,"rep","1A"))</f>
        <v/>
      </c>
      <c r="M19" s="218" t="str">
        <f>IF(L19="","",GETPIVOTDATA("Somme de Nb de buts marqués",calcul!$J$60,"rep","1A"))</f>
        <v/>
      </c>
      <c r="O19" s="20" t="s">
        <v>21</v>
      </c>
      <c r="P19" s="21" t="str">
        <f>IF(H14=1,C14,IF(H15=1,C15,IF(H16=1,C16,"")))</f>
        <v/>
      </c>
      <c r="Q19" s="29" t="str">
        <f>IF(y1c="","",IF(AND(H14=1,H15=2),D14,IF(AND(H14=1,H16=2),F14,IF(AND(H15=1,H14=2),D15,IF(AND(H15=1,H16=2),E15,IF(AND(H16=1,H14=2),F16,IF(AND(H16=1,H15=2),E16,0)))))))</f>
        <v/>
      </c>
      <c r="R19" s="118"/>
      <c r="S19" s="29" t="str">
        <f>m15n</f>
        <v/>
      </c>
      <c r="T19" s="118"/>
      <c r="U19" s="29" t="str">
        <f>m19b</f>
        <v/>
      </c>
      <c r="V19" s="118"/>
      <c r="W19" s="23" t="str">
        <f>IF(SUM(Q19:V19)=0,"",SUM(Q19:V19))</f>
        <v/>
      </c>
      <c r="X19" s="81" t="str">
        <f>IF(V$20="","",RANK(W19,W$19:W$22))</f>
        <v/>
      </c>
      <c r="Y19" s="217" t="str">
        <f>IF(X19="","",GETPIVOTDATA("Somme de Nb de but encaissés",calcul!$J$71,"rep","1c"))</f>
        <v/>
      </c>
      <c r="Z19" s="218" t="str">
        <f>IF(Y19="","",GETPIVOTDATA("Somme de Nb de buts marqués",calcul!$J$71,"rep","1c"))</f>
        <v/>
      </c>
    </row>
    <row r="20" spans="2:26" ht="16.2" thickTop="1" thickBot="1" x14ac:dyDescent="0.3">
      <c r="B20" s="26" t="s">
        <v>20</v>
      </c>
      <c r="C20" s="167" t="str">
        <f>IF(H$8=2,C$8,IF(H$9=2,C$9,IF(H$10=2,C$10,"")))</f>
        <v/>
      </c>
      <c r="D20" s="30" t="str">
        <f>IF(x2a="","",IF(AND(H8=1,H9=2),D9,IF(AND(H8=1,H10=2),F10,IF(AND(H9=1,H8=2),D8,IF(AND(H9=1,H10=2),E10,IF(AND(H10=1,H8=2),F8,IF(AND(H10=1,H9=2),E9,0)))))))</f>
        <v/>
      </c>
      <c r="E20" s="118"/>
      <c r="F20" s="118"/>
      <c r="G20" s="30" t="str">
        <f>m14n</f>
        <v/>
      </c>
      <c r="H20" s="118"/>
      <c r="I20" s="32" t="str">
        <f>m18b</f>
        <v/>
      </c>
      <c r="J20" s="23" t="str">
        <f>IF(SUM(D20:I20)=0,"",SUM(D20:I20))</f>
        <v/>
      </c>
      <c r="K20" s="81" t="str">
        <f>IF(I$20="","",RANK(J20,J$19:J$22))</f>
        <v/>
      </c>
      <c r="L20" s="217" t="str">
        <f>IF(K20="","",GETPIVOTDATA("Somme de Nb de but encaissés",calcul!$J$60,"rep","2A"))</f>
        <v/>
      </c>
      <c r="M20" s="218" t="str">
        <f>IF(L20="","",GETPIVOTDATA("Somme de Nb de buts marqués",calcul!$J$60,"rep","2A"))</f>
        <v/>
      </c>
      <c r="O20" s="26" t="s">
        <v>22</v>
      </c>
      <c r="P20" s="22" t="str">
        <f>IF(H$14=2,C$14,IF(H$15=2,C$15,IF(H$16=2,C$16,"")))</f>
        <v/>
      </c>
      <c r="Q20" s="30" t="str">
        <f>IF(y2c="","",IF(AND(H14=1,H15=2),D15,IF(AND(H14=1,H16=2),F16,IF(AND(H15=1,H14=2),D14,IF(AND(H15=1,H16=2),E16,IF(AND(H16=1,H14=2),F14,IF(AND(H16=1,H15=2),E15,0)))))))</f>
        <v/>
      </c>
      <c r="R20" s="118"/>
      <c r="S20" s="118"/>
      <c r="T20" s="30" t="str">
        <f>m16n</f>
        <v/>
      </c>
      <c r="U20" s="118"/>
      <c r="V20" s="32" t="str">
        <f>m20b</f>
        <v/>
      </c>
      <c r="W20" s="23" t="str">
        <f>IF(SUM(Q20:V20)=0,"",SUM(Q20:V20))</f>
        <v/>
      </c>
      <c r="X20" s="81" t="str">
        <f>IF(V$20="","",RANK(W20,W$19:W$22))</f>
        <v/>
      </c>
      <c r="Y20" s="217" t="str">
        <f>IF(X20="","",GETPIVOTDATA("Somme de Nb de but encaissés",calcul!$J$71,"rep","2c"))</f>
        <v/>
      </c>
      <c r="Z20" s="218" t="str">
        <f>IF(Y20="","",GETPIVOTDATA("Somme de Nb de buts marqués",calcul!$J$71,"rep","2c"))</f>
        <v/>
      </c>
    </row>
    <row r="21" spans="2:26" ht="16.2" thickTop="1" thickBot="1" x14ac:dyDescent="0.3">
      <c r="B21" s="26" t="s">
        <v>24</v>
      </c>
      <c r="C21" s="22" t="str">
        <f>IF(U$8=1,P$8,IF(U$9=1,P$9,IF(U$10=1,P$10,"")))</f>
        <v/>
      </c>
      <c r="D21" s="118"/>
      <c r="E21" s="30" t="str">
        <f>IF(x1b="","",IF(AND(U8=1,U9=2),Q8,IF(AND(U8=1,U10=2),S8,IF(AND(U9=1,U8=2),Q9,IF(AND(U9=1,U10=2),R9,IF(AND(U10=1,U8=2),S10,IF(AND(U10=1,U9=2),R10,0)))))))</f>
        <v/>
      </c>
      <c r="F21" s="30" t="str">
        <f>m13b</f>
        <v/>
      </c>
      <c r="G21" s="118"/>
      <c r="H21" s="118"/>
      <c r="I21" s="32" t="str">
        <f>m18n</f>
        <v/>
      </c>
      <c r="J21" s="23" t="str">
        <f>IF(SUM(D21:I21)=0,"",SUM(D21:I21))</f>
        <v/>
      </c>
      <c r="K21" s="81" t="str">
        <f>IF(I$20="","",RANK(J21,J$19:J$22))</f>
        <v/>
      </c>
      <c r="L21" s="217" t="str">
        <f>IF(K21="","",GETPIVOTDATA("Somme de Nb de but encaissés",calcul!$J$60,"rep","1B"))</f>
        <v/>
      </c>
      <c r="M21" s="218" t="str">
        <f>IF(L21="","",GETPIVOTDATA("Somme de Nb de buts marqués",calcul!$J$60,"rep","1B"))</f>
        <v/>
      </c>
      <c r="O21" s="26" t="s">
        <v>26</v>
      </c>
      <c r="P21" s="22" t="str">
        <f>IF(U$14=1,P$14,IF(U$15=1,P$15,IF(U$16=1,P$16,"")))</f>
        <v/>
      </c>
      <c r="Q21" s="118"/>
      <c r="R21" s="30" t="str">
        <f>IF(y1d="","",IF(AND(U14=1,U15=2),Q14,IF(AND(U14=1,U16=2),S14,IF(AND(U15=1,U14=2),Q15,IF(AND(U15=1,U16=2),R15,IF(AND(U16=1,U14=2),S16,IF(AND(U16=1,U15=2),R16,0)))))))</f>
        <v/>
      </c>
      <c r="S21" s="30" t="str">
        <f>m15b</f>
        <v/>
      </c>
      <c r="T21" s="118"/>
      <c r="U21" s="118"/>
      <c r="V21" s="32" t="str">
        <f>m20n</f>
        <v/>
      </c>
      <c r="W21" s="23" t="str">
        <f>IF(SUM(Q21:V21)=0,"",SUM(Q21:V21))</f>
        <v/>
      </c>
      <c r="X21" s="81" t="str">
        <f>IF(V$20="","",RANK(W21,W$19:W$22))</f>
        <v/>
      </c>
      <c r="Y21" s="217" t="str">
        <f>IF(X21="","",GETPIVOTDATA("Somme de Nb de but encaissés",calcul!$J$71,"rep","1d"))</f>
        <v/>
      </c>
      <c r="Z21" s="218" t="str">
        <f>IF(Y21="","",GETPIVOTDATA("Somme de Nb de buts marqués",calcul!$J$71,"rep","1d"))</f>
        <v/>
      </c>
    </row>
    <row r="22" spans="2:26" ht="16.2" thickTop="1" thickBot="1" x14ac:dyDescent="0.3">
      <c r="B22" s="27" t="s">
        <v>23</v>
      </c>
      <c r="C22" s="28" t="str">
        <f>IF(U$8=2,P$8,IF(U$9=2,P$9,IF(U$10=2,P$10,"")))</f>
        <v/>
      </c>
      <c r="D22" s="118"/>
      <c r="E22" s="31" t="str">
        <f>IF(x2b="","",IF(AND(U8=1,U9=2),Q9,IF(AND(U8=1,U10=2),S10,IF(AND(U9=1,U8=2),Q8,IF(AND(U9=1,U10=2),R10,IF(AND(U10=1,U8=2),S8,IF(AND(U10=1,U9=2),R9,0)))))))</f>
        <v/>
      </c>
      <c r="F22" s="118"/>
      <c r="G22" s="31" t="str">
        <f>m14b</f>
        <v/>
      </c>
      <c r="H22" s="31" t="str">
        <f>m17n</f>
        <v/>
      </c>
      <c r="I22" s="118"/>
      <c r="J22" s="23" t="str">
        <f>IF(SUM(D22:I22)=0,"",SUM(D22:I22))</f>
        <v/>
      </c>
      <c r="K22" s="81" t="str">
        <f>IF(I$20="","",RANK(J22,J$19:J$22))</f>
        <v/>
      </c>
      <c r="L22" s="217" t="str">
        <f>IF(K22="","",GETPIVOTDATA("Somme de Nb de but encaissés",calcul!$J$60,"rep","2B"))</f>
        <v/>
      </c>
      <c r="M22" s="218" t="str">
        <f>IF(L22="","",GETPIVOTDATA("Somme de Nb de buts marqués",calcul!$J$60,"rep","2B"))</f>
        <v/>
      </c>
      <c r="O22" s="27" t="s">
        <v>25</v>
      </c>
      <c r="P22" s="28" t="str">
        <f>IF(U$14=2,P$14,IF(U$15=2,P$15,IF(U$16=2,P$16,"")))</f>
        <v/>
      </c>
      <c r="Q22" s="118"/>
      <c r="R22" s="31" t="str">
        <f>IF(y2d="","",IF(AND(U14=1,U15=2),Q15,IF(AND(U14=1,U16=2),S16,IF(AND(U15=1,U14=2),Q14,IF(AND(U15=1,U16=2),R16,IF(AND(U16=1,U14=2),S14,IF(AND(U16=1,U15=2),R15,0)))))))</f>
        <v/>
      </c>
      <c r="S22" s="118"/>
      <c r="T22" s="31" t="str">
        <f>m16b</f>
        <v/>
      </c>
      <c r="U22" s="31" t="str">
        <f>m19n</f>
        <v/>
      </c>
      <c r="V22" s="118"/>
      <c r="W22" s="23" t="str">
        <f>IF(SUM(Q22:V22)=0,"",SUM(Q22:V22))</f>
        <v/>
      </c>
      <c r="X22" s="81" t="str">
        <f>IF(V$20="","",RANK(W22,W$19:W$22))</f>
        <v/>
      </c>
      <c r="Y22" s="217" t="str">
        <f>IF(X22="","",GETPIVOTDATA("Somme de Nb de but encaissés",calcul!$J$71,"rep","2d"))</f>
        <v/>
      </c>
      <c r="Z22" s="218" t="str">
        <f>IF(Y22="","",GETPIVOTDATA("Somme de Nb de buts marqués",calcul!$J$71,"rep","2d"))</f>
        <v/>
      </c>
    </row>
    <row r="23" spans="2:26" ht="15.75" customHeight="1" x14ac:dyDescent="0.3">
      <c r="B23" s="18"/>
      <c r="C23" s="18"/>
      <c r="D23" s="40"/>
      <c r="E23" s="40"/>
      <c r="F23" s="19"/>
      <c r="G23" s="19"/>
      <c r="H23" s="40"/>
      <c r="I23" s="261" t="s">
        <v>111</v>
      </c>
      <c r="J23" s="261"/>
      <c r="K23" s="261" t="s">
        <v>112</v>
      </c>
      <c r="L23" s="261"/>
      <c r="M23" s="40"/>
      <c r="N23" s="18"/>
      <c r="O23" s="18"/>
      <c r="P23" s="18"/>
      <c r="Q23" s="40"/>
      <c r="R23" s="40"/>
      <c r="S23" s="40"/>
      <c r="T23" s="40"/>
      <c r="U23" s="40"/>
      <c r="V23" s="40"/>
      <c r="W23" s="40"/>
      <c r="X23" s="40"/>
      <c r="Y23" s="256" t="s">
        <v>111</v>
      </c>
      <c r="Z23" s="258" t="s">
        <v>112</v>
      </c>
    </row>
    <row r="24" spans="2:26" ht="16.5" customHeight="1" thickBot="1" x14ac:dyDescent="0.3">
      <c r="B24" s="18"/>
      <c r="C24" s="18" t="s">
        <v>60</v>
      </c>
      <c r="D24" s="185">
        <v>21</v>
      </c>
      <c r="E24" s="185">
        <v>25</v>
      </c>
      <c r="F24" s="185">
        <v>29</v>
      </c>
      <c r="G24" s="79" t="s">
        <v>109</v>
      </c>
      <c r="H24" s="79" t="s">
        <v>110</v>
      </c>
      <c r="I24" s="262"/>
      <c r="J24" s="262"/>
      <c r="K24" s="262"/>
      <c r="L24" s="262"/>
      <c r="N24" s="18"/>
      <c r="O24" s="18"/>
      <c r="P24" s="18" t="s">
        <v>64</v>
      </c>
      <c r="Q24" s="185"/>
      <c r="R24" s="185"/>
      <c r="S24" s="185">
        <v>23</v>
      </c>
      <c r="T24" s="185">
        <v>24</v>
      </c>
      <c r="U24" s="185">
        <v>27</v>
      </c>
      <c r="V24" s="185">
        <v>28</v>
      </c>
      <c r="W24" s="79" t="s">
        <v>109</v>
      </c>
      <c r="X24" s="79" t="s">
        <v>110</v>
      </c>
      <c r="Y24" s="257"/>
      <c r="Z24" s="257"/>
    </row>
    <row r="25" spans="2:26" ht="16.2" thickTop="1" thickBot="1" x14ac:dyDescent="0.3">
      <c r="B25" s="20" t="s">
        <v>33</v>
      </c>
      <c r="C25" s="21" t="str">
        <f>IF(K$19=4,x1a,IF(K$20=4,x2a,IF(K$21=4,x1b,IF(K$22=4,x2b,""))))</f>
        <v/>
      </c>
      <c r="D25" s="118"/>
      <c r="E25" s="25" t="str">
        <f>m25n</f>
        <v/>
      </c>
      <c r="F25" s="29" t="str">
        <f>m29b</f>
        <v/>
      </c>
      <c r="G25" s="23" t="str">
        <f>IF(SUM(D25:F25)=0,"",SUM(D25:F25))</f>
        <v/>
      </c>
      <c r="H25" s="81" t="str">
        <f>IF(E$25="","",RANK(G25,G$25:G$27))</f>
        <v/>
      </c>
      <c r="I25" s="259" t="str">
        <f>IF(H$25="","",calcul!K84)</f>
        <v/>
      </c>
      <c r="J25" s="259"/>
      <c r="K25" s="259" t="str">
        <f>IF(H$25="","",calcul!L84)</f>
        <v/>
      </c>
      <c r="L25" s="259"/>
      <c r="N25" s="18"/>
      <c r="O25" s="20" t="s">
        <v>31</v>
      </c>
      <c r="P25" s="21" t="str">
        <f>IF(K$19=2,x1a,IF(K$20=2,x2a,IF(K$21=2,x1b,IF(K$22=2,x2b,""))))</f>
        <v/>
      </c>
      <c r="Q25" s="29"/>
      <c r="R25" s="118"/>
      <c r="S25" s="29" t="str">
        <f>m23n</f>
        <v/>
      </c>
      <c r="T25" s="118"/>
      <c r="U25" s="29" t="str">
        <f>m27b</f>
        <v/>
      </c>
      <c r="V25" s="118"/>
      <c r="W25" s="23" t="str">
        <f>IF(SUM(Q25:V25)=0,"",SUM(Q25:V25))</f>
        <v/>
      </c>
      <c r="X25" s="81" t="str">
        <f>IF(V$26="","",RANK(W25,W$25:W$28))</f>
        <v/>
      </c>
      <c r="Y25" s="217" t="str">
        <f>IF(X25="","",GETPIVOTDATA("Somme de Nb de but encaissés",calcul!$J$102,"rep","2x"))</f>
        <v/>
      </c>
      <c r="Z25" s="218" t="str">
        <f>IF(Y25="","",GETPIVOTDATA("Somme de Nb de buts marqués",calcul!$J$102,"rep","2x"))</f>
        <v/>
      </c>
    </row>
    <row r="26" spans="2:26" ht="16.2" thickTop="1" thickBot="1" x14ac:dyDescent="0.3">
      <c r="B26" s="26" t="s">
        <v>27</v>
      </c>
      <c r="C26" s="22" t="str">
        <f>IF(H$14=3,C$14,IF(H$15=3,C$15,IF(H$16=3,C$16,"")))</f>
        <v/>
      </c>
      <c r="D26" s="39" t="str">
        <f>m21n</f>
        <v/>
      </c>
      <c r="E26" s="32" t="str">
        <f>m25b</f>
        <v/>
      </c>
      <c r="F26" s="118"/>
      <c r="G26" s="23" t="str">
        <f>IF(SUM(D26:F26)=0,"",SUM(D26:F26))</f>
        <v/>
      </c>
      <c r="H26" s="81" t="str">
        <f>IF(E$25="","",RANK(G26,G$25:G$27))</f>
        <v/>
      </c>
      <c r="I26" s="259" t="str">
        <f>IF(H$25="","",calcul!K83)</f>
        <v/>
      </c>
      <c r="J26" s="259"/>
      <c r="K26" s="259" t="str">
        <f>IF(H$25="","",calcul!L83)</f>
        <v/>
      </c>
      <c r="L26" s="259"/>
      <c r="N26" s="18"/>
      <c r="O26" s="26" t="s">
        <v>32</v>
      </c>
      <c r="P26" s="22" t="str">
        <f>IF(K$19=3,x1a,IF(K$20=3,x2a,IF(K$21=3,x1b,IF(K$22=3,x2b,""))))</f>
        <v/>
      </c>
      <c r="Q26" s="30"/>
      <c r="R26" s="118"/>
      <c r="S26" s="118"/>
      <c r="T26" s="30" t="str">
        <f>m24n</f>
        <v/>
      </c>
      <c r="U26" s="118"/>
      <c r="V26" s="32" t="str">
        <f>m28b</f>
        <v/>
      </c>
      <c r="W26" s="23" t="str">
        <f>IF(SUM(Q26:V26)=0,"",SUM(Q26:V26))</f>
        <v/>
      </c>
      <c r="X26" s="81" t="str">
        <f>IF(V$26="","",RANK(W26,W$25:W$28))</f>
        <v/>
      </c>
      <c r="Y26" s="217" t="str">
        <f>IF(X26="","",GETPIVOTDATA("Somme de Nb de but encaissés",calcul!$J$102,"rep","3x"))</f>
        <v/>
      </c>
      <c r="Z26" s="218" t="str">
        <f>IF(Y26="","",GETPIVOTDATA("Somme de Nb de buts marqués",calcul!$J$102,"rep","3x"))</f>
        <v/>
      </c>
    </row>
    <row r="27" spans="2:26" ht="16.2" thickTop="1" thickBot="1" x14ac:dyDescent="0.3">
      <c r="B27" s="27" t="s">
        <v>28</v>
      </c>
      <c r="C27" s="28" t="str">
        <f>IF(U$14=3,P$14,IF(U$15=3,P$15,IF(U$16=3,P$16,"")))</f>
        <v/>
      </c>
      <c r="D27" s="41" t="str">
        <f>m21b</f>
        <v/>
      </c>
      <c r="E27" s="118"/>
      <c r="F27" s="31" t="str">
        <f>m29n</f>
        <v/>
      </c>
      <c r="G27" s="23" t="str">
        <f>IF(SUM(D27:F27)=0,"",SUM(D27:F27))</f>
        <v/>
      </c>
      <c r="H27" s="81" t="str">
        <f>IF(E$25="","",RANK(G27,G$25:G$27))</f>
        <v/>
      </c>
      <c r="I27" s="259" t="str">
        <f>IF(H$25="","",calcul!K85)</f>
        <v/>
      </c>
      <c r="J27" s="259"/>
      <c r="K27" s="259" t="str">
        <f>IF(H$25="","",calcul!L85)</f>
        <v/>
      </c>
      <c r="L27" s="259"/>
      <c r="N27" s="18"/>
      <c r="O27" s="26" t="s">
        <v>36</v>
      </c>
      <c r="P27" s="22" t="str">
        <f>IF(X$19=2,y1c,IF(X$20=2,y2c,IF(X$21=2,y1d,IF(X$22=2,y2d,""))))</f>
        <v/>
      </c>
      <c r="Q27" s="118"/>
      <c r="R27" s="30"/>
      <c r="S27" s="30" t="str">
        <f>m23b</f>
        <v/>
      </c>
      <c r="T27" s="118"/>
      <c r="U27" s="118"/>
      <c r="V27" s="32" t="str">
        <f>m28n</f>
        <v/>
      </c>
      <c r="W27" s="23" t="str">
        <f>IF(SUM(Q27:V27)=0,"",SUM(Q27:V27))</f>
        <v/>
      </c>
      <c r="X27" s="81" t="str">
        <f>IF(V$26="","",RANK(W27,W$25:W$28))</f>
        <v/>
      </c>
      <c r="Y27" s="217" t="str">
        <f>IF(X27="","",GETPIVOTDATA("Somme de Nb de but encaissés",calcul!$J$102,"rep","2y"))</f>
        <v/>
      </c>
      <c r="Z27" s="218" t="str">
        <f>IF(Y27="","",GETPIVOTDATA("Somme de Nb de buts marqués",calcul!$J$102,"rep","2y"))</f>
        <v/>
      </c>
    </row>
    <row r="28" spans="2:26" ht="16.8" thickTop="1" thickBot="1" x14ac:dyDescent="0.35">
      <c r="B28" s="18"/>
      <c r="C28" s="18"/>
      <c r="D28" s="40"/>
      <c r="E28" s="40"/>
      <c r="F28" s="19"/>
      <c r="G28" s="19"/>
      <c r="H28" s="40"/>
      <c r="I28" s="258" t="s">
        <v>111</v>
      </c>
      <c r="J28" s="258"/>
      <c r="K28" s="258" t="s">
        <v>112</v>
      </c>
      <c r="L28" s="258"/>
      <c r="M28" s="40"/>
      <c r="N28" s="18"/>
      <c r="O28" s="27" t="s">
        <v>35</v>
      </c>
      <c r="P28" s="28" t="str">
        <f>IF(X$19=3,y1c,IF(X$20=3,y2c,IF(X$21=3,y1d,IF(X$22=3,y2d,""))))</f>
        <v/>
      </c>
      <c r="Q28" s="118"/>
      <c r="R28" s="31"/>
      <c r="S28" s="118"/>
      <c r="T28" s="31" t="str">
        <f>m24b</f>
        <v/>
      </c>
      <c r="U28" s="31" t="str">
        <f>m27n</f>
        <v/>
      </c>
      <c r="V28" s="118"/>
      <c r="W28" s="23" t="str">
        <f>IF(SUM(Q28:V28)=0,"",SUM(Q28:V28))</f>
        <v/>
      </c>
      <c r="X28" s="81" t="str">
        <f>IF(V$26="","",RANK(W28,W$25:W$28))</f>
        <v/>
      </c>
      <c r="Y28" s="217" t="str">
        <f>IF(X28="","",GETPIVOTDATA("Somme de Nb de but encaissés",calcul!$J$102,"rep","3y"))</f>
        <v/>
      </c>
      <c r="Z28" s="218" t="str">
        <f>IF(Y28="","",GETPIVOTDATA("Somme de Nb de buts marqués",calcul!$J$102,"rep","3y"))</f>
        <v/>
      </c>
    </row>
    <row r="29" spans="2:26" thickBot="1" x14ac:dyDescent="0.3">
      <c r="B29" s="18"/>
      <c r="C29" s="18" t="s">
        <v>61</v>
      </c>
      <c r="D29" s="185">
        <v>22</v>
      </c>
      <c r="E29" s="185">
        <v>26</v>
      </c>
      <c r="F29" s="185">
        <v>30</v>
      </c>
      <c r="G29" s="79" t="s">
        <v>109</v>
      </c>
      <c r="H29" s="79" t="s">
        <v>110</v>
      </c>
      <c r="I29" s="257"/>
      <c r="J29" s="257"/>
      <c r="K29" s="257"/>
      <c r="L29" s="257"/>
      <c r="M29" s="40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2:26" ht="16.8" thickTop="1" thickBot="1" x14ac:dyDescent="0.35">
      <c r="B30" s="20" t="s">
        <v>34</v>
      </c>
      <c r="C30" s="21" t="str">
        <f>IF(X$19=4,y1c,IF(X$20=4,y2c,IF(X$21=4,y1d,IF(X$22=4,y2d,""))))</f>
        <v/>
      </c>
      <c r="D30" s="118"/>
      <c r="E30" s="25" t="str">
        <f>m26n</f>
        <v/>
      </c>
      <c r="F30" s="29" t="str">
        <f>m30b</f>
        <v/>
      </c>
      <c r="G30" s="23" t="str">
        <f>IF(SUM(D30:F30)=0,"",SUM(D30:F30))</f>
        <v/>
      </c>
      <c r="H30" s="145" t="str">
        <f>IF(F$30="","",RANK(G30,G$30:G$32))</f>
        <v/>
      </c>
      <c r="I30" s="259" t="str">
        <f>IF(H$30="","",calcul!K93)</f>
        <v/>
      </c>
      <c r="J30" s="259"/>
      <c r="K30" s="259" t="str">
        <f>IF(H$30="","",calcul!L93)</f>
        <v/>
      </c>
      <c r="L30" s="259"/>
      <c r="M30" s="40"/>
      <c r="N30" s="18"/>
      <c r="O30" s="18"/>
      <c r="P30" s="53" t="s">
        <v>62</v>
      </c>
      <c r="Q30" s="18">
        <v>31</v>
      </c>
      <c r="R30" s="18"/>
      <c r="S30" s="18"/>
      <c r="T30" s="53" t="s">
        <v>63</v>
      </c>
      <c r="U30" s="18"/>
      <c r="V30" s="18"/>
      <c r="W30" s="18"/>
      <c r="X30" s="18">
        <v>32</v>
      </c>
    </row>
    <row r="31" spans="2:26" ht="16.2" thickTop="1" thickBot="1" x14ac:dyDescent="0.3">
      <c r="B31" s="26" t="s">
        <v>29</v>
      </c>
      <c r="C31" s="22" t="str">
        <f>IF(H$8=3,C$8,IF(H$9=3,C$9,IF(H$10=3,C$10,"")))</f>
        <v/>
      </c>
      <c r="D31" s="39" t="str">
        <f>m22n</f>
        <v/>
      </c>
      <c r="E31" s="32" t="str">
        <f>m26b</f>
        <v/>
      </c>
      <c r="F31" s="118"/>
      <c r="G31" s="23" t="str">
        <f>IF(SUM(D31:F31)=0,"",SUM(D31:F31))</f>
        <v/>
      </c>
      <c r="H31" s="145" t="str">
        <f>IF(F$30="","",RANK(G31,G$30:G$32))</f>
        <v/>
      </c>
      <c r="I31" s="259" t="str">
        <f>IF(H$30="","",calcul!K94)</f>
        <v/>
      </c>
      <c r="J31" s="259"/>
      <c r="K31" s="259" t="str">
        <f>IF(H$30="","",calcul!L94)</f>
        <v/>
      </c>
      <c r="L31" s="259"/>
      <c r="M31" s="40"/>
      <c r="N31" s="18"/>
      <c r="O31" s="20" t="s">
        <v>37</v>
      </c>
      <c r="P31" s="33" t="str">
        <f>IF(K$19=1,x1a,IF(K$20=1,x2a,IF(K$21=1,x1b,IF(K$22=1,x2b,""))))</f>
        <v/>
      </c>
      <c r="Q31" s="50" t="str">
        <f>IF(grille!$G$42="","",grille!$G$42)</f>
        <v/>
      </c>
      <c r="R31" s="24"/>
      <c r="S31" s="20" t="s">
        <v>38</v>
      </c>
      <c r="T31" s="263" t="str">
        <f>IF(X$19=1,y1c,IF(X$20=1,y2c,IF(X$21=1,y1d,IF(X$22=1,y2d,""))))</f>
        <v/>
      </c>
      <c r="U31" s="264" t="str">
        <f t="shared" ref="U31:W32" si="0">IF(AA$19=2,y1c,IF(AA$20=2,y2c,IF(AA$21=2,y1d,IF(AA$22=2,y2d,""))))</f>
        <v/>
      </c>
      <c r="V31" s="264" t="str">
        <f t="shared" si="0"/>
        <v/>
      </c>
      <c r="W31" s="265" t="str">
        <f t="shared" si="0"/>
        <v/>
      </c>
      <c r="X31" s="50" t="str">
        <f>IF(grille!$G$43="","",grille!$G$43)</f>
        <v/>
      </c>
    </row>
    <row r="32" spans="2:26" ht="16.2" thickTop="1" thickBot="1" x14ac:dyDescent="0.3">
      <c r="B32" s="27" t="s">
        <v>30</v>
      </c>
      <c r="C32" s="28" t="str">
        <f>IF(U$8=3,P$8,IF(U$9=3,P$9,IF(U$10=3,P$10,"")))</f>
        <v/>
      </c>
      <c r="D32" s="41" t="str">
        <f>m22b</f>
        <v/>
      </c>
      <c r="E32" s="118"/>
      <c r="F32" s="31" t="str">
        <f>m30n</f>
        <v/>
      </c>
      <c r="G32" s="23" t="str">
        <f>IF(SUM(D32:F32)=0,"",SUM(D32:F32))</f>
        <v/>
      </c>
      <c r="H32" s="145" t="str">
        <f>IF(F$30="","",RANK(G32,G$30:G$32))</f>
        <v/>
      </c>
      <c r="I32" s="259" t="str">
        <f>IF(H$30="","",calcul!K95)</f>
        <v/>
      </c>
      <c r="J32" s="259"/>
      <c r="K32" s="259" t="str">
        <f>IF(H$30="","",calcul!L95)</f>
        <v/>
      </c>
      <c r="L32" s="259"/>
      <c r="M32" s="40"/>
      <c r="N32" s="18"/>
      <c r="O32" s="27" t="s">
        <v>49</v>
      </c>
      <c r="P32" s="34" t="str">
        <f>IF(X$25=2,g2x,IF(X$26=2,g3x,IF(X$27=2,g2y,IF(X$28=2,g3y,""))))</f>
        <v/>
      </c>
      <c r="Q32" s="51" t="str">
        <f>IF(grille!$H$42="","",grille!$H$42)</f>
        <v/>
      </c>
      <c r="R32" s="24"/>
      <c r="S32" s="186" t="s">
        <v>48</v>
      </c>
      <c r="T32" s="266" t="str">
        <f>IF(X$25=1,g2x,IF(X$26=1,g3x,IF(X$27=1,g2y,IF(X$28=1,g3y,""))))</f>
        <v/>
      </c>
      <c r="U32" s="267" t="str">
        <f t="shared" si="0"/>
        <v/>
      </c>
      <c r="V32" s="267" t="str">
        <f t="shared" si="0"/>
        <v/>
      </c>
      <c r="W32" s="268" t="str">
        <f t="shared" si="0"/>
        <v/>
      </c>
      <c r="X32" s="51" t="str">
        <f>IF(grille!$H$43="","",grille!$H$43)</f>
        <v/>
      </c>
    </row>
    <row r="33" spans="1:27" x14ac:dyDescent="0.3">
      <c r="B33" s="18"/>
      <c r="C33" s="18"/>
      <c r="D33" s="18"/>
      <c r="E33" s="18"/>
      <c r="F33" s="19"/>
      <c r="G33" s="19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24"/>
      <c r="S33" s="18"/>
      <c r="T33" s="18"/>
      <c r="U33" s="18"/>
      <c r="V33" s="18"/>
      <c r="W33" s="18"/>
      <c r="X33" s="18"/>
    </row>
    <row r="34" spans="1:27" thickBot="1" x14ac:dyDescent="0.3">
      <c r="B34" s="18"/>
      <c r="C34" s="18" t="s">
        <v>65</v>
      </c>
      <c r="D34" s="18">
        <v>34</v>
      </c>
      <c r="E34" s="18"/>
      <c r="F34" s="18"/>
      <c r="G34" s="18" t="s">
        <v>66</v>
      </c>
      <c r="H34" s="18"/>
      <c r="I34" s="18"/>
      <c r="J34" s="18"/>
      <c r="K34" s="18">
        <v>33</v>
      </c>
      <c r="L34" s="18"/>
      <c r="M34" s="18"/>
      <c r="N34" s="18"/>
      <c r="O34" s="18"/>
      <c r="P34" s="18" t="s">
        <v>68</v>
      </c>
      <c r="Q34" s="18">
        <v>35</v>
      </c>
      <c r="R34" s="18"/>
      <c r="S34" s="18"/>
      <c r="T34" s="18" t="s">
        <v>69</v>
      </c>
      <c r="U34" s="18"/>
      <c r="V34" s="18"/>
      <c r="W34" s="18"/>
      <c r="X34" s="18">
        <v>36</v>
      </c>
    </row>
    <row r="35" spans="1:27" ht="15" x14ac:dyDescent="0.25">
      <c r="B35" s="20" t="s">
        <v>40</v>
      </c>
      <c r="C35" s="33" t="str">
        <f>IF(H25=2,e4x,IF(H26=2,e3c,IF(H27=2,e3d,"")))</f>
        <v/>
      </c>
      <c r="D35" s="50" t="str">
        <f>IF(grille!$G$45="","",grille!$G$45)</f>
        <v/>
      </c>
      <c r="E35" s="24"/>
      <c r="F35" s="20" t="s">
        <v>39</v>
      </c>
      <c r="G35" s="263" t="str">
        <f>IF(H25=3,e4x,IF(H26=3,e3c,IF(H27=3,e3d,"")))</f>
        <v/>
      </c>
      <c r="H35" s="264" t="str">
        <f>IF(M25=2,e4x,IF(M26=2,e3c,IF(M27=2,e3d,"")))</f>
        <v/>
      </c>
      <c r="I35" s="264" t="str">
        <f>IF(N25=2,e4x,IF(N26=2,e3c,IF(N27=2,e3d,"")))</f>
        <v/>
      </c>
      <c r="J35" s="265" t="str">
        <f>IF(O25=2,e4x,IF(O26=2,e3c,IF(O27=2,e3d,"")))</f>
        <v/>
      </c>
      <c r="K35" s="23" t="str">
        <f>IF(grille!$G$44="","",grille!$G$44)</f>
        <v/>
      </c>
      <c r="L35" s="18"/>
      <c r="M35" s="18"/>
      <c r="N35" s="18"/>
      <c r="O35" s="20" t="s">
        <v>42</v>
      </c>
      <c r="P35" s="33" t="str">
        <f>IF(X$25=3,g2x,IF(X$26=3,g3x,IF(X$27=3,g2y,IF(X$28=3,g3y,""))))</f>
        <v/>
      </c>
      <c r="Q35" s="50" t="str">
        <f>IF(grille!$G$47="","",grille!$G$47)</f>
        <v/>
      </c>
      <c r="R35" s="24"/>
      <c r="S35" s="20" t="s">
        <v>41</v>
      </c>
      <c r="T35" s="263" t="str">
        <f>IF(X$25=4,g2x,IF(X$26=4,g3x,IF(X$27=4,g2y,IF(X$28=4,g3y,""))))</f>
        <v/>
      </c>
      <c r="U35" s="264" t="str">
        <f>IF(AB$25=2,g2x,IF(AB$26=2,g3x,IF(AB$27=2,g2y,IF(AB$28=2,g3y,""))))</f>
        <v/>
      </c>
      <c r="V35" s="264" t="str">
        <f>IF(AC$25=2,g2x,IF(AC$26=2,g3x,IF(AC$27=2,g2y,IF(AC$28=2,g3y,""))))</f>
        <v/>
      </c>
      <c r="W35" s="265" t="str">
        <f>IF(AD$25=2,g2x,IF(AD$26=2,g3x,IF(AD$27=2,g2y,IF(AD$28=2,g3y,""))))</f>
        <v/>
      </c>
      <c r="X35" s="50" t="str">
        <f>IF(grille!$G$46="","",grille!$G$46)</f>
        <v/>
      </c>
    </row>
    <row r="36" spans="1:27" thickBot="1" x14ac:dyDescent="0.3">
      <c r="B36" s="27" t="s">
        <v>67</v>
      </c>
      <c r="C36" s="34" t="str">
        <f>IF(H30=3,f4y,IF(H31=3,f3a,IF(H32=3,f3b,"")))</f>
        <v/>
      </c>
      <c r="D36" s="51" t="str">
        <f>IF(grille!$H$45="","",grille!$H$45)</f>
        <v/>
      </c>
      <c r="E36" s="24"/>
      <c r="F36" s="27" t="s">
        <v>77</v>
      </c>
      <c r="G36" s="266" t="str">
        <f>IF(H30=2,f4y,IF(H31=2,f3a,IF(H32=2,f3b,"")))</f>
        <v/>
      </c>
      <c r="H36" s="267" t="str">
        <f>IF(M30=3,f4y,IF(M31=3,f3a,IF(M32=3,f3b,"")))</f>
        <v/>
      </c>
      <c r="I36" s="267" t="str">
        <f>IF(N30=3,f4y,IF(N31=3,f3a,IF(N32=3,f3b,"")))</f>
        <v/>
      </c>
      <c r="J36" s="268" t="str">
        <f>IF(O30=3,f4y,IF(O31=3,f3a,IF(O32=3,f3b,"")))</f>
        <v/>
      </c>
      <c r="K36" s="51" t="str">
        <f>IF(grille!$H$44="","",grille!$H$44)</f>
        <v/>
      </c>
      <c r="L36" s="18"/>
      <c r="M36" s="18"/>
      <c r="N36" s="18"/>
      <c r="O36" s="27" t="s">
        <v>47</v>
      </c>
      <c r="P36" s="35" t="str">
        <f>IF(H$25=1,e4x,IF(H$26=1,e3c,IF(H$27=1,e3d,"")))</f>
        <v/>
      </c>
      <c r="Q36" s="51" t="str">
        <f>IF(grille!$H$47="","",grille!$H$47)</f>
        <v/>
      </c>
      <c r="R36" s="24"/>
      <c r="S36" s="27" t="s">
        <v>70</v>
      </c>
      <c r="T36" s="266" t="str">
        <f>IF(H$30=1,f4y,IF(H$31=1,f3a,IF(H$32=1,f3b,"")))</f>
        <v/>
      </c>
      <c r="U36" s="267" t="e">
        <f>IF(#REF!=1,e4x,IF(#REF!=1,e3c,IF(#REF!=1,e3d,"")))</f>
        <v>#REF!</v>
      </c>
      <c r="V36" s="267" t="str">
        <f>IF(N$25=1,e4x,IF(N$26=1,e3c,IF(N$27=1,e3d,"")))</f>
        <v/>
      </c>
      <c r="W36" s="268" t="str">
        <f>IF(O$25=1,e4x,IF(O$26=1,e3c,IF(O$27=1,e3d,"")))</f>
        <v/>
      </c>
      <c r="X36" s="51" t="str">
        <f>IF(grille!$H$46="","",grille!$H$46)</f>
        <v/>
      </c>
    </row>
    <row r="37" spans="1:27" x14ac:dyDescent="0.3">
      <c r="B37" s="18"/>
      <c r="C37" s="18"/>
      <c r="D37" s="18"/>
      <c r="E37" s="18"/>
      <c r="F37" s="19"/>
      <c r="G37" s="19"/>
      <c r="H37" s="18"/>
      <c r="I37" s="18"/>
      <c r="J37" s="18"/>
      <c r="K37" s="18"/>
      <c r="L37" s="18"/>
      <c r="M37" s="18"/>
      <c r="N37" s="18"/>
      <c r="O37" s="18"/>
      <c r="P37" s="24"/>
      <c r="Q37" s="18"/>
      <c r="R37" s="18"/>
      <c r="S37" s="18"/>
      <c r="T37" s="18"/>
      <c r="U37" s="18"/>
      <c r="V37" s="18"/>
      <c r="W37" s="18"/>
      <c r="X37" s="18"/>
    </row>
    <row r="38" spans="1:27" ht="16.2" thickBot="1" x14ac:dyDescent="0.35">
      <c r="B38" s="18"/>
      <c r="C38" s="53" t="s">
        <v>71</v>
      </c>
      <c r="D38" s="18">
        <v>37</v>
      </c>
      <c r="E38" s="18"/>
      <c r="F38" s="19"/>
      <c r="G38" s="19"/>
      <c r="H38" s="18"/>
      <c r="I38" s="18"/>
      <c r="J38" s="53" t="s">
        <v>72</v>
      </c>
      <c r="K38" s="18"/>
      <c r="L38" s="18"/>
      <c r="M38" s="18"/>
      <c r="N38" s="18"/>
      <c r="O38" s="18">
        <v>38</v>
      </c>
      <c r="P38" s="24"/>
      <c r="Q38" s="18"/>
      <c r="R38" s="53" t="s">
        <v>73</v>
      </c>
      <c r="S38" s="18"/>
      <c r="T38" s="18"/>
      <c r="U38" s="18"/>
      <c r="V38" s="18">
        <v>39</v>
      </c>
      <c r="W38" s="18"/>
      <c r="X38" s="18"/>
    </row>
    <row r="39" spans="1:27" ht="16.2" thickBot="1" x14ac:dyDescent="0.35">
      <c r="B39" s="20">
        <v>291</v>
      </c>
      <c r="C39" s="33" t="str">
        <f>IF(D35&lt;&gt;D36,IF(D35&lt;D36,C35,C36)," ")</f>
        <v xml:space="preserve"> </v>
      </c>
      <c r="D39" s="50" t="str">
        <f>IF(grille!$G$48="","",grille!$G$48)</f>
        <v/>
      </c>
      <c r="E39" s="46" t="str">
        <f>IF(D40&lt;&gt;D39,IF(D40="f",11,IF(D39&lt;D40,12,11))," ")</f>
        <v xml:space="preserve"> </v>
      </c>
      <c r="F39" s="19" t="str">
        <f>IF(AND(D49&gt;0,D50&gt;0),IF(D49&gt;D50,9,10)," ")</f>
        <v xml:space="preserve"> </v>
      </c>
      <c r="G39" s="19"/>
      <c r="H39" s="18"/>
      <c r="I39" s="20">
        <v>191</v>
      </c>
      <c r="J39" s="263" t="str">
        <f>IF(D35&lt;&gt;D36,IF(D35&gt;D36,C35,C36)," ")</f>
        <v xml:space="preserve"> </v>
      </c>
      <c r="K39" s="264"/>
      <c r="L39" s="264"/>
      <c r="M39" s="264"/>
      <c r="N39" s="265"/>
      <c r="O39" s="50" t="str">
        <f>IF(grille!$G$49="","",grille!$G$49)</f>
        <v/>
      </c>
      <c r="P39" s="52" t="str">
        <f>IF(O39&lt;&gt;O40,IF(O39&gt;O40,9,10)," ")</f>
        <v xml:space="preserve"> </v>
      </c>
      <c r="Q39" s="20">
        <v>251</v>
      </c>
      <c r="R39" s="266" t="str">
        <f>IF(Q35&lt;&gt;Q36,IF(Q35&lt;Q36,P35,P36)," ")</f>
        <v xml:space="preserve"> </v>
      </c>
      <c r="S39" s="267"/>
      <c r="T39" s="267"/>
      <c r="U39" s="268"/>
      <c r="V39" s="50" t="str">
        <f>IF(grille!$G$50="","",grille!$G$50)</f>
        <v/>
      </c>
      <c r="W39" s="52" t="str">
        <f>IF(V39&lt;&gt;V40,IF(V39&gt;V40,7,8)," ")</f>
        <v xml:space="preserve"> </v>
      </c>
      <c r="X39" s="18"/>
    </row>
    <row r="40" spans="1:27" ht="16.2" thickBot="1" x14ac:dyDescent="0.35">
      <c r="B40" s="27">
        <v>292</v>
      </c>
      <c r="C40" s="34" t="str">
        <f>IF(K35&lt;&gt;K36,IF(K35="f",f_3e,IF(K35&lt;K36,G35,G36))," ")</f>
        <v xml:space="preserve"> </v>
      </c>
      <c r="D40" s="51" t="str">
        <f>IF(grille!$H$48="","",grille!$H$48)</f>
        <v/>
      </c>
      <c r="E40" s="46" t="str">
        <f>IF(D39&lt;&gt;D40,IF(D40="f",12,IF(D39&lt;D40,11,12))," ")</f>
        <v xml:space="preserve"> </v>
      </c>
      <c r="F40" s="19"/>
      <c r="G40" s="19"/>
      <c r="H40" s="18"/>
      <c r="I40" s="27">
        <v>192</v>
      </c>
      <c r="J40" s="266" t="str">
        <f>IF(K35&lt;&gt;K36,IF(K35="f",f_2f,IF(K35&gt;K36,G35,G36))," ")</f>
        <v xml:space="preserve"> </v>
      </c>
      <c r="K40" s="267"/>
      <c r="L40" s="267"/>
      <c r="M40" s="267"/>
      <c r="N40" s="268"/>
      <c r="O40" s="51" t="str">
        <f>IF(grille!$H$49="","",grille!$H$49)</f>
        <v/>
      </c>
      <c r="P40" s="52" t="str">
        <f>IF(O39&lt;&gt;O40,IF(O39&lt;O40,9,10)," ")</f>
        <v xml:space="preserve"> </v>
      </c>
      <c r="Q40" s="27">
        <v>252</v>
      </c>
      <c r="R40" s="263" t="str">
        <f>IF(X35&lt;&gt;X36,IF(X35&lt;X36,T35,T36)," ")</f>
        <v xml:space="preserve"> </v>
      </c>
      <c r="S40" s="264"/>
      <c r="T40" s="264"/>
      <c r="U40" s="265"/>
      <c r="V40" s="51" t="str">
        <f>IF(grille!$H$50="","",grille!$H$50)</f>
        <v/>
      </c>
      <c r="W40" s="52" t="str">
        <f>IF(V39&lt;&gt;V40,IF(V39&lt;V40,7,8)," ")</f>
        <v xml:space="preserve"> </v>
      </c>
    </row>
    <row r="41" spans="1:27" x14ac:dyDescent="0.3">
      <c r="B41" s="18"/>
      <c r="C41" s="18"/>
      <c r="D41" s="18"/>
      <c r="E41" s="18"/>
      <c r="F41" s="19"/>
      <c r="G41" s="19"/>
      <c r="H41" s="18"/>
      <c r="I41" s="18"/>
      <c r="J41" s="18"/>
      <c r="K41" s="18"/>
      <c r="L41" s="18"/>
      <c r="M41" s="18"/>
      <c r="N41" s="18"/>
      <c r="O41" s="18"/>
      <c r="P41" s="24"/>
      <c r="Q41" s="18"/>
      <c r="R41" s="18"/>
      <c r="S41" s="18"/>
      <c r="T41" s="18"/>
      <c r="U41" s="18"/>
      <c r="V41" s="18"/>
      <c r="W41" s="18"/>
      <c r="X41" s="18"/>
    </row>
    <row r="42" spans="1:27" ht="16.2" thickBot="1" x14ac:dyDescent="0.35">
      <c r="B42" s="18"/>
      <c r="C42" s="53" t="s">
        <v>74</v>
      </c>
      <c r="D42" s="18">
        <v>40</v>
      </c>
      <c r="E42" s="18"/>
      <c r="F42" s="19"/>
      <c r="G42" s="19"/>
      <c r="H42" s="18"/>
      <c r="I42" s="18"/>
      <c r="J42" s="53" t="s">
        <v>75</v>
      </c>
      <c r="K42" s="18"/>
      <c r="L42" s="18"/>
      <c r="M42" s="18"/>
      <c r="N42" s="18"/>
      <c r="O42" s="18">
        <v>41</v>
      </c>
      <c r="P42" s="24"/>
      <c r="Q42" s="18"/>
      <c r="R42" s="53" t="s">
        <v>76</v>
      </c>
      <c r="S42" s="18"/>
      <c r="T42" s="18"/>
      <c r="U42" s="18"/>
      <c r="V42" s="18">
        <v>42</v>
      </c>
      <c r="W42" s="18"/>
      <c r="X42" s="18"/>
    </row>
    <row r="43" spans="1:27" ht="16.2" thickBot="1" x14ac:dyDescent="0.35">
      <c r="B43" s="20">
        <v>151</v>
      </c>
      <c r="C43" s="34" t="str">
        <f>IF(Q35&lt;&gt;Q36,IF(Q35&gt;Q36,P35,P36)," ")</f>
        <v xml:space="preserve"> </v>
      </c>
      <c r="D43" s="50" t="str">
        <f>IF(grille!$G$51="","",grille!$G$51)</f>
        <v/>
      </c>
      <c r="E43" s="46" t="str">
        <f>IF(D43&lt;&gt;D44,IF(D43&gt;D44,5,6)," ")</f>
        <v xml:space="preserve"> </v>
      </c>
      <c r="F43" s="19"/>
      <c r="G43" s="19"/>
      <c r="H43" s="18"/>
      <c r="I43" s="20" t="s">
        <v>78</v>
      </c>
      <c r="J43" s="263" t="str">
        <f>IF(Q31&lt;&gt;Q32,IF(Q31&lt;Q32,P31,P32)," ")</f>
        <v xml:space="preserve"> </v>
      </c>
      <c r="K43" s="264"/>
      <c r="L43" s="264"/>
      <c r="M43" s="264"/>
      <c r="N43" s="265"/>
      <c r="O43" s="50" t="str">
        <f>IF(grille!$G$52="","",grille!$G$52)</f>
        <v/>
      </c>
      <c r="P43" s="52" t="str">
        <f>IF(O43&lt;&gt;O44,IF(O43&gt;O44,3,4)," ")</f>
        <v xml:space="preserve"> </v>
      </c>
      <c r="Q43" s="20" t="s">
        <v>80</v>
      </c>
      <c r="R43" s="263" t="str">
        <f>IF(Q31&lt;&gt;Q32,IF(Q31&gt;Q32,P31,P32)," ")</f>
        <v xml:space="preserve"> </v>
      </c>
      <c r="S43" s="264"/>
      <c r="T43" s="264"/>
      <c r="U43" s="265"/>
      <c r="V43" s="50" t="str">
        <f>IF(grille!$G$53="","",grille!$G$53)</f>
        <v/>
      </c>
      <c r="W43" s="52" t="str">
        <f>IF(V43&lt;&gt;V44,IF(V43&gt;V44,1,2)," ")</f>
        <v xml:space="preserve"> </v>
      </c>
      <c r="X43" s="18"/>
    </row>
    <row r="44" spans="1:27" ht="16.2" thickBot="1" x14ac:dyDescent="0.35">
      <c r="B44" s="27">
        <v>152</v>
      </c>
      <c r="C44" s="33" t="str">
        <f>IF(X35&lt;&gt;X36,IF(X35&gt;X36,T35,T36)," ")</f>
        <v xml:space="preserve"> </v>
      </c>
      <c r="D44" s="51" t="str">
        <f>IF(grille!$H$51="","",grille!$H$51)</f>
        <v/>
      </c>
      <c r="E44" s="46" t="str">
        <f>IF(D43&lt;&gt;D44,IF(D43&lt;D44,5,6)," ")</f>
        <v xml:space="preserve"> </v>
      </c>
      <c r="F44" s="19"/>
      <c r="G44" s="19"/>
      <c r="H44" s="18"/>
      <c r="I44" s="27" t="s">
        <v>79</v>
      </c>
      <c r="J44" s="266" t="str">
        <f>IF(X31&lt;&gt;X32,IF(X31&lt;X32,T31,T32)," ")</f>
        <v xml:space="preserve"> </v>
      </c>
      <c r="K44" s="267"/>
      <c r="L44" s="267"/>
      <c r="M44" s="267"/>
      <c r="N44" s="268"/>
      <c r="O44" s="51" t="str">
        <f>IF(grille!$H$52="","",grille!$H$52)</f>
        <v/>
      </c>
      <c r="P44" s="52" t="str">
        <f>IF(O43&lt;&gt;O44,IF(O43&lt;O44,3,4)," ")</f>
        <v xml:space="preserve"> </v>
      </c>
      <c r="Q44" s="27" t="s">
        <v>81</v>
      </c>
      <c r="R44" s="266" t="str">
        <f>IF(X31&lt;&gt;X32,IF(X31&gt;X32,T31,T32)," ")</f>
        <v xml:space="preserve"> </v>
      </c>
      <c r="S44" s="267"/>
      <c r="T44" s="267"/>
      <c r="U44" s="268"/>
      <c r="V44" s="51" t="str">
        <f>IF(grille!$H$53="","",grille!$H$53)</f>
        <v/>
      </c>
      <c r="W44" s="52" t="str">
        <f>IF(V43&lt;&gt;V44,IF(V43&lt;V44,1,2)," ")</f>
        <v xml:space="preserve"> </v>
      </c>
      <c r="X44" s="18"/>
    </row>
    <row r="46" spans="1:27" x14ac:dyDescent="0.3">
      <c r="A46" s="36"/>
      <c r="B46" s="36"/>
      <c r="D46" s="36"/>
      <c r="E46" s="36"/>
      <c r="F46" s="37"/>
      <c r="G46" s="37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</row>
    <row r="47" spans="1:27" x14ac:dyDescent="0.3">
      <c r="A47" s="36"/>
      <c r="B47" s="36"/>
      <c r="C47" s="36"/>
      <c r="D47" s="36"/>
      <c r="E47" s="36"/>
      <c r="F47" s="37"/>
      <c r="G47" s="37"/>
      <c r="H47" s="36"/>
      <c r="I47" s="4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x14ac:dyDescent="0.3">
      <c r="A48" s="36"/>
      <c r="B48" s="36"/>
      <c r="C48" s="36"/>
      <c r="D48" s="36"/>
      <c r="E48" s="36"/>
      <c r="F48" s="37"/>
      <c r="G48" s="37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x14ac:dyDescent="0.3">
      <c r="A49" s="36"/>
      <c r="B49" s="36"/>
      <c r="C49" s="36"/>
      <c r="D49" s="36"/>
      <c r="E49" s="36"/>
      <c r="F49" s="37"/>
      <c r="G49" s="37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 x14ac:dyDescent="0.3">
      <c r="A50" s="36"/>
      <c r="B50" s="36"/>
      <c r="C50" s="36"/>
      <c r="D50" s="36"/>
      <c r="E50" s="36"/>
      <c r="F50" s="37"/>
      <c r="G50" s="37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 x14ac:dyDescent="0.3">
      <c r="A51" s="36"/>
      <c r="B51" s="36"/>
      <c r="C51" s="36"/>
      <c r="D51" s="36"/>
      <c r="E51" s="36"/>
      <c r="F51" s="37"/>
      <c r="G51" s="37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x14ac:dyDescent="0.3">
      <c r="A52" s="36"/>
      <c r="B52" s="36"/>
      <c r="C52" s="36"/>
      <c r="D52" s="36"/>
      <c r="E52" s="36"/>
      <c r="F52" s="37"/>
      <c r="G52" s="37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 x14ac:dyDescent="0.3">
      <c r="A53" s="36"/>
      <c r="B53" s="36"/>
      <c r="C53" s="36"/>
      <c r="D53" s="36"/>
      <c r="E53" s="36"/>
      <c r="F53" s="37"/>
      <c r="G53" s="37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 x14ac:dyDescent="0.3">
      <c r="A54" s="36"/>
      <c r="B54" s="36"/>
      <c r="C54" s="36"/>
      <c r="D54" s="36"/>
      <c r="E54" s="36"/>
      <c r="F54" s="37"/>
      <c r="G54" s="37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x14ac:dyDescent="0.3">
      <c r="A55" s="36"/>
      <c r="B55" s="36"/>
      <c r="C55" s="36"/>
      <c r="D55" s="36"/>
      <c r="E55" s="36"/>
      <c r="F55" s="37"/>
      <c r="G55" s="37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</row>
    <row r="56" spans="1:27" x14ac:dyDescent="0.3">
      <c r="A56" s="36"/>
      <c r="B56" s="36"/>
      <c r="C56" s="36"/>
      <c r="D56" s="36"/>
      <c r="E56" s="36"/>
      <c r="F56" s="37"/>
      <c r="G56" s="37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1:27" x14ac:dyDescent="0.3">
      <c r="A57" s="36"/>
      <c r="B57" s="36"/>
      <c r="C57" s="36"/>
      <c r="D57" s="36"/>
      <c r="E57" s="36"/>
      <c r="F57" s="37"/>
      <c r="G57" s="37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x14ac:dyDescent="0.3">
      <c r="A58" s="36"/>
      <c r="B58" s="36"/>
      <c r="C58" s="36"/>
      <c r="D58" s="36"/>
      <c r="E58" s="36"/>
      <c r="F58" s="37"/>
      <c r="G58" s="37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</row>
  </sheetData>
  <mergeCells count="78">
    <mergeCell ref="R44:U44"/>
    <mergeCell ref="V16:W16"/>
    <mergeCell ref="R40:U40"/>
    <mergeCell ref="J43:N43"/>
    <mergeCell ref="J44:N44"/>
    <mergeCell ref="J40:N40"/>
    <mergeCell ref="J39:N39"/>
    <mergeCell ref="R39:U39"/>
    <mergeCell ref="R43:U43"/>
    <mergeCell ref="T35:W35"/>
    <mergeCell ref="T36:W36"/>
    <mergeCell ref="K8:L8"/>
    <mergeCell ref="X16:Y16"/>
    <mergeCell ref="I14:J14"/>
    <mergeCell ref="K14:L14"/>
    <mergeCell ref="V14:W14"/>
    <mergeCell ref="X14:Y14"/>
    <mergeCell ref="V15:W15"/>
    <mergeCell ref="X15:Y15"/>
    <mergeCell ref="I16:J16"/>
    <mergeCell ref="B5:D5"/>
    <mergeCell ref="I6:J7"/>
    <mergeCell ref="K6:L7"/>
    <mergeCell ref="X6:Y7"/>
    <mergeCell ref="X12:Y13"/>
    <mergeCell ref="V8:W8"/>
    <mergeCell ref="X8:Y8"/>
    <mergeCell ref="V9:W9"/>
    <mergeCell ref="X9:Y9"/>
    <mergeCell ref="X10:Y10"/>
    <mergeCell ref="V10:W10"/>
    <mergeCell ref="V6:W7"/>
    <mergeCell ref="I1:P1"/>
    <mergeCell ref="G2:H2"/>
    <mergeCell ref="I2:P2"/>
    <mergeCell ref="K3:S3"/>
    <mergeCell ref="C4:J4"/>
    <mergeCell ref="L4:N4"/>
    <mergeCell ref="T32:W32"/>
    <mergeCell ref="T31:W31"/>
    <mergeCell ref="I32:J32"/>
    <mergeCell ref="K32:L32"/>
    <mergeCell ref="I28:J29"/>
    <mergeCell ref="K28:L29"/>
    <mergeCell ref="K10:L10"/>
    <mergeCell ref="I9:J9"/>
    <mergeCell ref="O4:S4"/>
    <mergeCell ref="I10:J10"/>
    <mergeCell ref="I23:J24"/>
    <mergeCell ref="K23:L24"/>
    <mergeCell ref="K9:L9"/>
    <mergeCell ref="E5:S5"/>
    <mergeCell ref="I8:J8"/>
    <mergeCell ref="I12:J13"/>
    <mergeCell ref="K12:L13"/>
    <mergeCell ref="I15:J15"/>
    <mergeCell ref="G35:J35"/>
    <mergeCell ref="G36:J36"/>
    <mergeCell ref="I27:J27"/>
    <mergeCell ref="K26:L26"/>
    <mergeCell ref="I25:J25"/>
    <mergeCell ref="I26:J26"/>
    <mergeCell ref="I30:J30"/>
    <mergeCell ref="K30:L30"/>
    <mergeCell ref="K27:L27"/>
    <mergeCell ref="I31:J31"/>
    <mergeCell ref="K31:L31"/>
    <mergeCell ref="K25:L25"/>
    <mergeCell ref="K16:L16"/>
    <mergeCell ref="V12:W13"/>
    <mergeCell ref="L17:L18"/>
    <mergeCell ref="K15:L15"/>
    <mergeCell ref="M17:M18"/>
    <mergeCell ref="T2:AA3"/>
    <mergeCell ref="Y17:Y18"/>
    <mergeCell ref="Z17:Z18"/>
    <mergeCell ref="Y23:Y24"/>
    <mergeCell ref="Z23:Z24"/>
  </mergeCells>
  <phoneticPr fontId="0" type="noConversion"/>
  <conditionalFormatting sqref="L35:M36 J12:J13 J18:K18 W18:X18 W24:X24 H28:H29 I19:I22 J17:J22 H33:L34 U33:V34 Q19:W22 Q25:W28 Q25:T34 N8:N16 N23:N34 U25:V30 D8:F12 O8:P34 H19:H24 Q8:S12 G8:G17 D14:F17 T8:T17 Q14:S17 D19:F23 Q19:V23 M28:M34 D25:F28 D30:F34 H11:I13 K11:L13 U11:V13 Y17 T2 Y19:Y28 G19:G34 M8:M18 M23 Y19:Z22 L17 K17:K18 H17:I17 U17:V17 Y25:Z28">
    <cfRule type="cellIs" dxfId="9" priority="53" stopIfTrue="1" operator="equal">
      <formula>FALSE</formula>
    </cfRule>
  </conditionalFormatting>
  <conditionalFormatting sqref="T6:V7 Z19:Z22 Z25:Z28">
    <cfRule type="cellIs" dxfId="8" priority="38" stopIfTrue="1" operator="equal">
      <formula>FALSE</formula>
    </cfRule>
  </conditionalFormatting>
  <conditionalFormatting sqref="I25:I27 K25:K27">
    <cfRule type="cellIs" dxfId="7" priority="12" stopIfTrue="1" operator="equal">
      <formula>FALSE</formula>
    </cfRule>
  </conditionalFormatting>
  <conditionalFormatting sqref="I8:I10 K8:K10">
    <cfRule type="cellIs" dxfId="6" priority="10" stopIfTrue="1" operator="equal">
      <formula>FALSE</formula>
    </cfRule>
  </conditionalFormatting>
  <conditionalFormatting sqref="I30:I32 K30:K32">
    <cfRule type="cellIs" dxfId="5" priority="6" stopIfTrue="1" operator="equal">
      <formula>FALSE</formula>
    </cfRule>
  </conditionalFormatting>
  <conditionalFormatting sqref="I14:I16 K14:K16">
    <cfRule type="cellIs" dxfId="4" priority="5" stopIfTrue="1" operator="equal">
      <formula>FALSE</formula>
    </cfRule>
  </conditionalFormatting>
  <conditionalFormatting sqref="V8:V10 X8:X10">
    <cfRule type="cellIs" dxfId="3" priority="4" stopIfTrue="1" operator="equal">
      <formula>FALSE</formula>
    </cfRule>
  </conditionalFormatting>
  <conditionalFormatting sqref="V14:V16 X14:X16">
    <cfRule type="cellIs" dxfId="2" priority="3" stopIfTrue="1" operator="equal">
      <formula>FALSE</formula>
    </cfRule>
  </conditionalFormatting>
  <conditionalFormatting sqref="L19:M22">
    <cfRule type="cellIs" dxfId="1" priority="2" stopIfTrue="1" operator="equal">
      <formula>FALSE</formula>
    </cfRule>
  </conditionalFormatting>
  <conditionalFormatting sqref="M19:M22">
    <cfRule type="cellIs" dxfId="0" priority="1" stopIfTrue="1" operator="equal">
      <formula>FALSE</formula>
    </cfRule>
  </conditionalFormatting>
  <printOptions horizontalCentered="1" verticalCentered="1"/>
  <pageMargins left="0.35433070866141736" right="0.43307086614173229" top="0.39370078740157483" bottom="0.35433070866141736" header="0.27559055118110237" footer="0.15748031496062992"/>
  <pageSetup paperSize="9" scale="72" orientation="landscape" r:id="rId1"/>
  <headerFooter alignWithMargins="0">
    <oddHeader xml:space="preserve">&amp;R&amp;"Arial,Gras"&amp;14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5" r:id="rId4" name="Button 71">
              <controlPr defaultSize="0" print="0" autoFill="0" autoPict="0" macro="[0]!calculbuts">
                <anchor moveWithCells="1" sizeWithCells="1">
                  <from>
                    <xdr:col>26</xdr:col>
                    <xdr:colOff>68580</xdr:colOff>
                    <xdr:row>8</xdr:row>
                    <xdr:rowOff>160020</xdr:rowOff>
                  </from>
                  <to>
                    <xdr:col>27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F24"/>
  <sheetViews>
    <sheetView topLeftCell="A7" workbookViewId="0">
      <selection activeCell="B20" sqref="B20"/>
    </sheetView>
  </sheetViews>
  <sheetFormatPr baseColWidth="10" defaultColWidth="11.44140625" defaultRowHeight="15.6" x14ac:dyDescent="0.3"/>
  <cols>
    <col min="1" max="1" width="24.5546875" style="111" customWidth="1"/>
    <col min="2" max="2" width="34" style="111" customWidth="1"/>
    <col min="3" max="3" width="11.5546875" style="111" customWidth="1"/>
    <col min="4" max="4" width="4.88671875" style="111" customWidth="1"/>
    <col min="5" max="5" width="4.88671875" style="112" customWidth="1"/>
    <col min="6" max="16384" width="11.44140625" style="84"/>
  </cols>
  <sheetData>
    <row r="1" spans="1:6" s="101" customFormat="1" x14ac:dyDescent="0.3">
      <c r="A1" s="99"/>
      <c r="B1" s="99"/>
      <c r="C1" s="99"/>
      <c r="D1" s="99"/>
      <c r="E1" s="100"/>
    </row>
    <row r="2" spans="1:6" s="102" customFormat="1" ht="90.75" customHeight="1" x14ac:dyDescent="0.25">
      <c r="E2" s="103"/>
      <c r="F2" s="103"/>
    </row>
    <row r="3" spans="1:6" s="102" customFormat="1" ht="25.5" customHeight="1" x14ac:dyDescent="0.25">
      <c r="A3" s="104" t="s">
        <v>119</v>
      </c>
      <c r="B3" s="269" t="str">
        <f>saison</f>
        <v>2016 - 2017</v>
      </c>
      <c r="C3" s="270"/>
    </row>
    <row r="4" spans="1:6" s="102" customFormat="1" ht="21" customHeight="1" x14ac:dyDescent="0.25">
      <c r="A4" s="104" t="s">
        <v>122</v>
      </c>
      <c r="B4" s="269" t="str">
        <f>date</f>
        <v>6 et 7 mai 2017</v>
      </c>
      <c r="C4" s="270"/>
    </row>
    <row r="5" spans="1:6" s="101" customFormat="1" x14ac:dyDescent="0.3">
      <c r="A5" s="99"/>
      <c r="B5" s="99"/>
      <c r="C5" s="99"/>
      <c r="D5" s="99"/>
      <c r="E5" s="100"/>
    </row>
    <row r="6" spans="1:6" s="101" customFormat="1" ht="17.399999999999999" x14ac:dyDescent="0.25">
      <c r="A6" s="104" t="s">
        <v>120</v>
      </c>
      <c r="B6" s="105" t="str">
        <f>lieu</f>
        <v xml:space="preserve">LAGNY </v>
      </c>
      <c r="C6" s="108"/>
    </row>
    <row r="7" spans="1:6" s="101" customFormat="1" ht="17.399999999999999" x14ac:dyDescent="0.25">
      <c r="A7" s="104" t="s">
        <v>123</v>
      </c>
      <c r="B7" s="105" t="str">
        <f>catégorie</f>
        <v>BENJAMINS</v>
      </c>
      <c r="C7" s="106"/>
    </row>
    <row r="8" spans="1:6" x14ac:dyDescent="0.3">
      <c r="A8" s="109"/>
      <c r="B8" s="109"/>
      <c r="C8" s="109"/>
      <c r="D8" s="109"/>
      <c r="E8" s="110"/>
    </row>
    <row r="10" spans="1:6" ht="24.9" customHeight="1" x14ac:dyDescent="0.3">
      <c r="B10" s="221" t="str">
        <f>IF(poules!V$43&gt;poules!V$44,f_1f1,f_1f2)</f>
        <v xml:space="preserve"> </v>
      </c>
      <c r="C10" s="116">
        <v>1</v>
      </c>
    </row>
    <row r="11" spans="1:6" ht="24.9" customHeight="1" x14ac:dyDescent="0.3">
      <c r="B11" s="221" t="str">
        <f>IF(poules!V$43&lt;poules!V$44,f_1f1,f_1f2)</f>
        <v xml:space="preserve"> </v>
      </c>
      <c r="C11" s="116">
        <v>2</v>
      </c>
    </row>
    <row r="12" spans="1:6" ht="24.9" customHeight="1" x14ac:dyDescent="0.3">
      <c r="B12" s="221" t="str">
        <f>IF(poules!O$43&gt;poules!O$44,f_2f1,f_2f2)</f>
        <v xml:space="preserve"> </v>
      </c>
      <c r="C12" s="116">
        <v>3</v>
      </c>
    </row>
    <row r="13" spans="1:6" ht="24.9" customHeight="1" x14ac:dyDescent="0.3">
      <c r="B13" s="221" t="str">
        <f>IF(poules!O$43&lt;poules!O$44,f_2f1,f_2f2)</f>
        <v xml:space="preserve"> </v>
      </c>
      <c r="C13" s="117">
        <v>4</v>
      </c>
    </row>
    <row r="14" spans="1:6" ht="24.9" customHeight="1" x14ac:dyDescent="0.3">
      <c r="B14" s="221" t="str">
        <f>IF(poules!D$43&gt;poules!D$44,f_152,f_151)</f>
        <v xml:space="preserve"> </v>
      </c>
      <c r="C14" s="117">
        <v>5</v>
      </c>
    </row>
    <row r="15" spans="1:6" ht="24.9" customHeight="1" x14ac:dyDescent="0.3">
      <c r="B15" s="221" t="str">
        <f>IF(poules!D$43&lt;poules!D$44,f_152,f_151)</f>
        <v xml:space="preserve"> </v>
      </c>
      <c r="C15" s="117">
        <v>6</v>
      </c>
    </row>
    <row r="16" spans="1:6" ht="24.9" customHeight="1" x14ac:dyDescent="0.3">
      <c r="B16" s="221" t="str">
        <f>IF(poules!V$39&gt;poules!V$40,f_252,f_251)</f>
        <v xml:space="preserve"> </v>
      </c>
      <c r="C16" s="117">
        <v>7</v>
      </c>
    </row>
    <row r="17" spans="1:6" ht="24.9" customHeight="1" x14ac:dyDescent="0.3">
      <c r="B17" s="221" t="str">
        <f>IF(poules!V$39&lt;poules!V$40,f_252,f_251)</f>
        <v xml:space="preserve"> </v>
      </c>
      <c r="C17" s="117">
        <v>8</v>
      </c>
    </row>
    <row r="18" spans="1:6" ht="24.9" customHeight="1" x14ac:dyDescent="0.3">
      <c r="B18" s="221" t="str">
        <f>IF(poules!O$39&gt;poules!O$40,f_192,f_191)</f>
        <v xml:space="preserve"> </v>
      </c>
      <c r="C18" s="117">
        <v>9</v>
      </c>
    </row>
    <row r="19" spans="1:6" s="111" customFormat="1" ht="24.9" customHeight="1" x14ac:dyDescent="0.3">
      <c r="B19" s="221" t="str">
        <f>IF(poules!O$39&lt;poules!O$40,f_191,f_192)</f>
        <v xml:space="preserve"> </v>
      </c>
      <c r="C19" s="117">
        <v>10</v>
      </c>
      <c r="E19" s="112"/>
      <c r="F19" s="84"/>
    </row>
    <row r="20" spans="1:6" s="111" customFormat="1" ht="24.9" customHeight="1" x14ac:dyDescent="0.3">
      <c r="B20" s="221" t="str">
        <f>IF(poules!D$39&gt;poules!D$40,f_291,f_292)</f>
        <v xml:space="preserve"> </v>
      </c>
      <c r="C20" s="117">
        <v>11</v>
      </c>
      <c r="E20" s="112"/>
      <c r="F20" s="84"/>
    </row>
    <row r="21" spans="1:6" s="111" customFormat="1" ht="24.9" customHeight="1" x14ac:dyDescent="0.3">
      <c r="B21" s="221" t="str">
        <f>IF(poules!D$39&lt;poules!D$40,f_291,f_292)</f>
        <v xml:space="preserve"> </v>
      </c>
      <c r="C21" s="117">
        <v>12</v>
      </c>
      <c r="E21" s="112"/>
      <c r="F21" s="84"/>
    </row>
    <row r="24" spans="1:6" x14ac:dyDescent="0.3">
      <c r="A24" s="220" t="s">
        <v>190</v>
      </c>
      <c r="B24" s="220"/>
    </row>
  </sheetData>
  <mergeCells count="2">
    <mergeCell ref="B3:C3"/>
    <mergeCell ref="B4:C4"/>
  </mergeCells>
  <phoneticPr fontId="2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L109"/>
  <sheetViews>
    <sheetView workbookViewId="0">
      <selection activeCell="J34" sqref="J34"/>
    </sheetView>
  </sheetViews>
  <sheetFormatPr baseColWidth="10" defaultRowHeight="13.2" x14ac:dyDescent="0.25"/>
  <cols>
    <col min="1" max="1" width="8" customWidth="1"/>
    <col min="2" max="2" width="18.88671875" customWidth="1"/>
    <col min="3" max="3" width="5.44140625" customWidth="1"/>
    <col min="4" max="4" width="1.44140625" customWidth="1"/>
    <col min="5" max="5" width="12.44140625" style="168" customWidth="1"/>
    <col min="6" max="6" width="9.6640625" style="168" customWidth="1"/>
    <col min="7" max="7" width="1.88671875" style="168" customWidth="1"/>
    <col min="8" max="8" width="6.88671875" customWidth="1"/>
    <col min="9" max="9" width="22.44140625" customWidth="1"/>
    <col min="10" max="10" width="11.5546875" style="183" customWidth="1"/>
    <col min="11" max="11" width="28" style="183" customWidth="1"/>
    <col min="12" max="12" width="27.6640625" customWidth="1"/>
  </cols>
  <sheetData>
    <row r="1" spans="1:11" x14ac:dyDescent="0.25">
      <c r="A1" t="s">
        <v>6</v>
      </c>
      <c r="B1" t="s">
        <v>4</v>
      </c>
      <c r="C1" t="s">
        <v>5</v>
      </c>
      <c r="E1" s="168" t="s">
        <v>1</v>
      </c>
      <c r="F1" s="168" t="s">
        <v>2</v>
      </c>
      <c r="H1" t="s">
        <v>5</v>
      </c>
      <c r="I1" t="s">
        <v>3</v>
      </c>
      <c r="J1" s="169" t="s">
        <v>149</v>
      </c>
      <c r="K1" s="169" t="s">
        <v>150</v>
      </c>
    </row>
    <row r="2" spans="1:11" x14ac:dyDescent="0.25">
      <c r="A2" t="str">
        <f>grille!C9</f>
        <v>1</v>
      </c>
      <c r="B2" t="str">
        <f>grille!D9</f>
        <v>NEUILLY</v>
      </c>
      <c r="C2" t="str">
        <f>grille!E9</f>
        <v>A1</v>
      </c>
      <c r="D2">
        <f>grille!F9</f>
        <v>0</v>
      </c>
      <c r="E2" t="str">
        <f>IF(grille!G9="","",grille!G9)</f>
        <v/>
      </c>
      <c r="F2" t="str">
        <f>IF(grille!H9="","",grille!H9)</f>
        <v/>
      </c>
      <c r="G2"/>
      <c r="H2" t="str">
        <f>grille!J9</f>
        <v>A5</v>
      </c>
      <c r="I2" t="str">
        <f>grille!K9</f>
        <v>LA GUERCHE</v>
      </c>
      <c r="J2" s="170" t="str">
        <f>IF(AND(E2="",F2=""),"",IF(E2="F",0,IF(F2="F",4,IF(E2=F2,2,IF(E2&gt;F2,4,1)))))</f>
        <v/>
      </c>
      <c r="K2" s="170" t="str">
        <f>IF(AND(F2="",E2=""),"",IF(F2="f",0,IF(E2="f",4,IF(E2=F2,2,IF(E2&gt;F2,1,4)))))</f>
        <v/>
      </c>
    </row>
    <row r="3" spans="1:11" x14ac:dyDescent="0.25">
      <c r="A3" t="str">
        <f>grille!C10</f>
        <v>2</v>
      </c>
      <c r="B3" t="str">
        <f>grille!D10</f>
        <v>FONTENAY</v>
      </c>
      <c r="C3" t="str">
        <f>grille!E10</f>
        <v>B2</v>
      </c>
      <c r="D3">
        <f>grille!F10</f>
        <v>0</v>
      </c>
      <c r="E3" t="str">
        <f>IF(grille!G10="","",grille!G10)</f>
        <v/>
      </c>
      <c r="F3" t="str">
        <f>IF(grille!H10="","",grille!H10)</f>
        <v/>
      </c>
      <c r="G3"/>
      <c r="H3" t="str">
        <f>grille!J10</f>
        <v>B6</v>
      </c>
      <c r="I3" t="str">
        <f>grille!K10</f>
        <v>LE CHESNAY/CLAMART</v>
      </c>
      <c r="J3" s="170" t="str">
        <f t="shared" ref="J3:J23" si="0">IF(AND(E3="",F3=""),"",IF(E3="F",0,IF(F3="F",4,IF(E3=F3,2,IF(E3&gt;F3,4,1)))))</f>
        <v/>
      </c>
      <c r="K3" s="170" t="str">
        <f t="shared" ref="K3:K23" si="1">IF(AND(F3="",E3=""),"",IF(F3="f",0,IF(E3="f",4,IF(E3=F3,2,IF(E3&gt;F3,1,4)))))</f>
        <v/>
      </c>
    </row>
    <row r="4" spans="1:11" x14ac:dyDescent="0.25">
      <c r="A4" t="str">
        <f>grille!C11</f>
        <v>3</v>
      </c>
      <c r="B4" t="str">
        <f>grille!D11</f>
        <v>PONTOISE</v>
      </c>
      <c r="C4" t="str">
        <f>grille!E11</f>
        <v>C3</v>
      </c>
      <c r="D4">
        <f>grille!F11</f>
        <v>0</v>
      </c>
      <c r="E4" t="str">
        <f>IF(grille!G11="","",grille!G11)</f>
        <v/>
      </c>
      <c r="F4" t="str">
        <f>IF(grille!H11="","",grille!H11)</f>
        <v/>
      </c>
      <c r="G4"/>
      <c r="H4" t="str">
        <f>grille!J11</f>
        <v>C7</v>
      </c>
      <c r="I4" t="str">
        <f>grille!K11</f>
        <v>LILLE</v>
      </c>
      <c r="J4" s="170" t="str">
        <f t="shared" si="0"/>
        <v/>
      </c>
      <c r="K4" s="170" t="str">
        <f t="shared" si="1"/>
        <v/>
      </c>
    </row>
    <row r="5" spans="1:11" x14ac:dyDescent="0.25">
      <c r="A5" t="str">
        <f>grille!C12</f>
        <v>4</v>
      </c>
      <c r="B5" t="str">
        <f>grille!D12</f>
        <v>PESSAC</v>
      </c>
      <c r="C5" t="str">
        <f>grille!E12</f>
        <v>D4</v>
      </c>
      <c r="D5">
        <f>grille!F12</f>
        <v>0</v>
      </c>
      <c r="E5" t="str">
        <f>IF(grille!G12="","",grille!G12)</f>
        <v/>
      </c>
      <c r="F5" t="str">
        <f>IF(grille!H12="","",grille!H12)</f>
        <v/>
      </c>
      <c r="G5"/>
      <c r="H5" t="str">
        <f>grille!J12</f>
        <v>D8</v>
      </c>
      <c r="I5" t="str">
        <f>grille!K12</f>
        <v>LAGNY</v>
      </c>
      <c r="J5" s="170" t="str">
        <f t="shared" si="0"/>
        <v/>
      </c>
      <c r="K5" s="170" t="str">
        <f t="shared" si="1"/>
        <v/>
      </c>
    </row>
    <row r="6" spans="1:11" x14ac:dyDescent="0.25">
      <c r="A6" t="str">
        <f>grille!C13</f>
        <v>5</v>
      </c>
      <c r="B6" t="str">
        <f>grille!D13</f>
        <v>LA GUERCHE</v>
      </c>
      <c r="C6" t="str">
        <f>grille!E13</f>
        <v>A5</v>
      </c>
      <c r="D6">
        <f>grille!F13</f>
        <v>0</v>
      </c>
      <c r="E6" t="str">
        <f>IF(grille!G13="","",grille!G13)</f>
        <v/>
      </c>
      <c r="F6" t="str">
        <f>IF(grille!H13="","",grille!H13)</f>
        <v/>
      </c>
      <c r="G6"/>
      <c r="H6" t="str">
        <f>grille!J13</f>
        <v>A9</v>
      </c>
      <c r="I6" t="str">
        <f>grille!K13</f>
        <v>LAGNY 2</v>
      </c>
      <c r="J6" s="170" t="str">
        <f t="shared" si="0"/>
        <v/>
      </c>
      <c r="K6" s="170" t="str">
        <f t="shared" si="1"/>
        <v/>
      </c>
    </row>
    <row r="7" spans="1:11" x14ac:dyDescent="0.25">
      <c r="A7" t="str">
        <f>grille!C14</f>
        <v>6</v>
      </c>
      <c r="B7" t="str">
        <f>grille!D14</f>
        <v>LE CHESNAY/CLAMART</v>
      </c>
      <c r="C7" t="str">
        <f>grille!E14</f>
        <v>B6</v>
      </c>
      <c r="D7">
        <f>grille!F14</f>
        <v>0</v>
      </c>
      <c r="E7" t="str">
        <f>IF(grille!G14="","",grille!G14)</f>
        <v/>
      </c>
      <c r="F7" t="str">
        <f>IF(grille!H14="","",grille!H14)</f>
        <v/>
      </c>
      <c r="G7"/>
      <c r="H7" t="str">
        <f>grille!J14</f>
        <v>B10</v>
      </c>
      <c r="I7" t="str">
        <f>grille!K14</f>
        <v>MOIRANS</v>
      </c>
      <c r="J7" s="170" t="str">
        <f t="shared" si="0"/>
        <v/>
      </c>
      <c r="K7" s="170" t="str">
        <f t="shared" si="1"/>
        <v/>
      </c>
    </row>
    <row r="8" spans="1:11" x14ac:dyDescent="0.25">
      <c r="A8" t="str">
        <f>grille!C15</f>
        <v>7</v>
      </c>
      <c r="B8" t="str">
        <f>grille!D15</f>
        <v>LILLE</v>
      </c>
      <c r="C8" t="str">
        <f>grille!E15</f>
        <v>C7</v>
      </c>
      <c r="D8">
        <f>grille!F15</f>
        <v>0</v>
      </c>
      <c r="E8" t="str">
        <f>IF(grille!G15="","",grille!G15)</f>
        <v/>
      </c>
      <c r="F8" t="str">
        <f>IF(grille!H15="","",grille!H15)</f>
        <v/>
      </c>
      <c r="G8"/>
      <c r="H8" t="str">
        <f>grille!J15</f>
        <v>C11</v>
      </c>
      <c r="I8" t="str">
        <f>grille!K15</f>
        <v>LAGNY3/HYERES</v>
      </c>
      <c r="J8" s="170" t="str">
        <f t="shared" si="0"/>
        <v/>
      </c>
      <c r="K8" s="170" t="str">
        <f t="shared" si="1"/>
        <v/>
      </c>
    </row>
    <row r="9" spans="1:11" x14ac:dyDescent="0.25">
      <c r="A9" t="str">
        <f>grille!C16</f>
        <v>8</v>
      </c>
      <c r="B9" t="str">
        <f>grille!D16</f>
        <v>LAGNY</v>
      </c>
      <c r="C9" t="str">
        <f>grille!E16</f>
        <v>D8</v>
      </c>
      <c r="D9">
        <f>grille!F16</f>
        <v>0</v>
      </c>
      <c r="E9" t="str">
        <f>IF(grille!G16="","",grille!G16)</f>
        <v/>
      </c>
      <c r="F9" t="str">
        <f>IF(grille!H16="","",grille!H16)</f>
        <v/>
      </c>
      <c r="G9"/>
      <c r="H9" t="str">
        <f>grille!J16</f>
        <v>D12</v>
      </c>
      <c r="I9" t="str">
        <f>grille!K16</f>
        <v>COMBOURG/QUIMPERLE</v>
      </c>
      <c r="J9" s="170" t="str">
        <f t="shared" si="0"/>
        <v/>
      </c>
      <c r="K9" s="170" t="str">
        <f t="shared" si="1"/>
        <v/>
      </c>
    </row>
    <row r="10" spans="1:11" x14ac:dyDescent="0.25">
      <c r="A10" t="str">
        <f>grille!C17</f>
        <v>9</v>
      </c>
      <c r="B10" t="str">
        <f>grille!D17</f>
        <v>LAGNY 2</v>
      </c>
      <c r="C10" t="str">
        <f>grille!E17</f>
        <v>A9</v>
      </c>
      <c r="D10">
        <f>grille!F17</f>
        <v>0</v>
      </c>
      <c r="E10" t="str">
        <f>IF(grille!G17="","",grille!G17)</f>
        <v/>
      </c>
      <c r="F10" t="str">
        <f>IF(grille!H17="","",grille!H17)</f>
        <v/>
      </c>
      <c r="G10"/>
      <c r="H10" t="str">
        <f>grille!J17</f>
        <v>A1</v>
      </c>
      <c r="I10" t="str">
        <f>grille!K17</f>
        <v>NEUILLY</v>
      </c>
      <c r="J10" s="170" t="str">
        <f t="shared" si="0"/>
        <v/>
      </c>
      <c r="K10" s="170" t="str">
        <f t="shared" si="1"/>
        <v/>
      </c>
    </row>
    <row r="11" spans="1:11" x14ac:dyDescent="0.25">
      <c r="A11" t="str">
        <f>grille!C18</f>
        <v>10</v>
      </c>
      <c r="B11" t="str">
        <f>grille!D18</f>
        <v>MOIRANS</v>
      </c>
      <c r="C11" t="str">
        <f>grille!E18</f>
        <v>B10</v>
      </c>
      <c r="D11">
        <f>grille!F18</f>
        <v>0</v>
      </c>
      <c r="E11" t="str">
        <f>IF(grille!G18="","",grille!G18)</f>
        <v/>
      </c>
      <c r="F11" t="str">
        <f>IF(grille!H18="","",grille!H18)</f>
        <v/>
      </c>
      <c r="G11"/>
      <c r="H11" t="str">
        <f>grille!J18</f>
        <v>B2</v>
      </c>
      <c r="I11" t="str">
        <f>grille!K18</f>
        <v>FONTENAY</v>
      </c>
      <c r="J11" s="170" t="str">
        <f t="shared" si="0"/>
        <v/>
      </c>
      <c r="K11" s="170" t="str">
        <f t="shared" si="1"/>
        <v/>
      </c>
    </row>
    <row r="12" spans="1:11" x14ac:dyDescent="0.25">
      <c r="A12" t="str">
        <f>grille!C19</f>
        <v>11</v>
      </c>
      <c r="B12" t="str">
        <f>grille!D19</f>
        <v>LAGNY3/HYERES</v>
      </c>
      <c r="C12" t="str">
        <f>grille!E19</f>
        <v>C11</v>
      </c>
      <c r="D12">
        <f>grille!F19</f>
        <v>0</v>
      </c>
      <c r="E12" t="str">
        <f>IF(grille!G19="","",grille!G19)</f>
        <v/>
      </c>
      <c r="F12" t="str">
        <f>IF(grille!H19="","",grille!H19)</f>
        <v/>
      </c>
      <c r="G12"/>
      <c r="H12" t="str">
        <f>grille!J19</f>
        <v>C3</v>
      </c>
      <c r="I12" t="str">
        <f>grille!K19</f>
        <v>PONTOISE</v>
      </c>
      <c r="J12" s="170" t="str">
        <f t="shared" si="0"/>
        <v/>
      </c>
      <c r="K12" s="170" t="str">
        <f t="shared" si="1"/>
        <v/>
      </c>
    </row>
    <row r="13" spans="1:11" x14ac:dyDescent="0.25">
      <c r="A13" t="str">
        <f>grille!C20</f>
        <v>12</v>
      </c>
      <c r="B13" t="str">
        <f>grille!D20</f>
        <v>COMBOURG/QUIMPERLE</v>
      </c>
      <c r="C13" t="str">
        <f>grille!E20</f>
        <v>D12</v>
      </c>
      <c r="D13">
        <f>grille!F20</f>
        <v>0</v>
      </c>
      <c r="E13" t="str">
        <f>IF(grille!G20="","",grille!G20)</f>
        <v/>
      </c>
      <c r="F13" t="str">
        <f>IF(grille!H20="","",grille!H20)</f>
        <v/>
      </c>
      <c r="G13"/>
      <c r="H13" t="str">
        <f>grille!J20</f>
        <v>D4</v>
      </c>
      <c r="I13" t="str">
        <f>grille!K20</f>
        <v>PESSAC</v>
      </c>
      <c r="J13" s="170" t="str">
        <f t="shared" si="0"/>
        <v/>
      </c>
      <c r="K13" s="170" t="str">
        <f t="shared" si="1"/>
        <v/>
      </c>
    </row>
    <row r="14" spans="1:11" x14ac:dyDescent="0.25">
      <c r="A14" s="222" t="str">
        <f>grille!C21</f>
        <v>13</v>
      </c>
      <c r="B14" s="222" t="str">
        <f>grille!D21</f>
        <v/>
      </c>
      <c r="C14" s="222" t="str">
        <f>grille!E21</f>
        <v>1A</v>
      </c>
      <c r="D14" s="222">
        <f>grille!F21</f>
        <v>0</v>
      </c>
      <c r="E14" s="222" t="str">
        <f>IF(grille!G21="","",grille!G21)</f>
        <v/>
      </c>
      <c r="F14" s="222" t="str">
        <f>IF(grille!H21="","",grille!H21)</f>
        <v/>
      </c>
      <c r="G14" s="222"/>
      <c r="H14" s="222" t="str">
        <f>grille!J21</f>
        <v>1B</v>
      </c>
      <c r="I14" s="222" t="str">
        <f>grille!K21</f>
        <v/>
      </c>
      <c r="J14" s="170" t="str">
        <f t="shared" si="0"/>
        <v/>
      </c>
      <c r="K14" s="170" t="str">
        <f t="shared" si="1"/>
        <v/>
      </c>
    </row>
    <row r="15" spans="1:11" x14ac:dyDescent="0.25">
      <c r="A15" s="222" t="str">
        <f>grille!C22</f>
        <v>14</v>
      </c>
      <c r="B15" s="222" t="str">
        <f>grille!D22</f>
        <v/>
      </c>
      <c r="C15" s="222" t="str">
        <f>grille!E22</f>
        <v>2A</v>
      </c>
      <c r="D15" s="222">
        <f>grille!F22</f>
        <v>0</v>
      </c>
      <c r="E15" s="222" t="str">
        <f>IF(grille!G22="","",grille!G22)</f>
        <v/>
      </c>
      <c r="F15" s="222" t="str">
        <f>IF(grille!H22="","",grille!H22)</f>
        <v/>
      </c>
      <c r="G15" s="222"/>
      <c r="H15" s="222" t="str">
        <f>grille!J22</f>
        <v>2B</v>
      </c>
      <c r="I15" s="222" t="str">
        <f>grille!K22</f>
        <v/>
      </c>
      <c r="J15" s="170" t="str">
        <f t="shared" si="0"/>
        <v/>
      </c>
      <c r="K15" s="170" t="str">
        <f t="shared" si="1"/>
        <v/>
      </c>
    </row>
    <row r="16" spans="1:11" x14ac:dyDescent="0.25">
      <c r="A16" s="222" t="str">
        <f>grille!C23</f>
        <v>15</v>
      </c>
      <c r="B16" s="222" t="str">
        <f>grille!D23</f>
        <v/>
      </c>
      <c r="C16" s="222" t="str">
        <f>grille!E23</f>
        <v>1C</v>
      </c>
      <c r="D16" s="222">
        <f>grille!F23</f>
        <v>0</v>
      </c>
      <c r="E16" s="222" t="str">
        <f>IF(grille!G23="","",grille!G23)</f>
        <v/>
      </c>
      <c r="F16" s="222" t="str">
        <f>IF(grille!H23="","",grille!H23)</f>
        <v/>
      </c>
      <c r="G16" s="222"/>
      <c r="H16" s="222" t="str">
        <f>grille!J23</f>
        <v>1D</v>
      </c>
      <c r="I16" s="222" t="str">
        <f>grille!K23</f>
        <v/>
      </c>
      <c r="J16" s="170" t="str">
        <f t="shared" si="0"/>
        <v/>
      </c>
      <c r="K16" s="170" t="str">
        <f t="shared" si="1"/>
        <v/>
      </c>
    </row>
    <row r="17" spans="1:11" x14ac:dyDescent="0.25">
      <c r="A17" s="222" t="str">
        <f>grille!C24</f>
        <v>16</v>
      </c>
      <c r="B17" s="222" t="str">
        <f>grille!D24</f>
        <v/>
      </c>
      <c r="C17" s="222" t="str">
        <f>grille!E24</f>
        <v>2C</v>
      </c>
      <c r="D17" s="222">
        <f>grille!F24</f>
        <v>0</v>
      </c>
      <c r="E17" s="222" t="str">
        <f>IF(grille!G24="","",grille!G24)</f>
        <v/>
      </c>
      <c r="F17" s="222" t="str">
        <f>IF(grille!H24="","",grille!H24)</f>
        <v/>
      </c>
      <c r="G17" s="222"/>
      <c r="H17" s="222" t="str">
        <f>grille!J24</f>
        <v>2D</v>
      </c>
      <c r="I17" s="222" t="str">
        <f>grille!K24</f>
        <v/>
      </c>
      <c r="J17" s="170" t="str">
        <f t="shared" si="0"/>
        <v/>
      </c>
      <c r="K17" s="170" t="str">
        <f t="shared" si="1"/>
        <v/>
      </c>
    </row>
    <row r="18" spans="1:11" x14ac:dyDescent="0.25">
      <c r="A18" s="222" t="str">
        <f>grille!C25</f>
        <v>17</v>
      </c>
      <c r="B18" s="222" t="str">
        <f>grille!D25</f>
        <v/>
      </c>
      <c r="C18" s="222" t="str">
        <f>grille!E25</f>
        <v>2B</v>
      </c>
      <c r="D18" s="222">
        <f>grille!F25</f>
        <v>0</v>
      </c>
      <c r="E18" s="222" t="str">
        <f>IF(grille!G25="","",grille!G25)</f>
        <v/>
      </c>
      <c r="F18" s="222" t="str">
        <f>IF(grille!H25="","",grille!H25)</f>
        <v/>
      </c>
      <c r="G18" s="222"/>
      <c r="H18" s="222" t="str">
        <f>grille!J25</f>
        <v>1A</v>
      </c>
      <c r="I18" s="222" t="str">
        <f>grille!K25</f>
        <v/>
      </c>
      <c r="J18" s="170" t="str">
        <f t="shared" si="0"/>
        <v/>
      </c>
      <c r="K18" s="170" t="str">
        <f t="shared" si="1"/>
        <v/>
      </c>
    </row>
    <row r="19" spans="1:11" x14ac:dyDescent="0.25">
      <c r="A19" s="222" t="str">
        <f>grille!C26</f>
        <v>18</v>
      </c>
      <c r="B19" s="222" t="str">
        <f>grille!D26</f>
        <v/>
      </c>
      <c r="C19" s="222" t="str">
        <f>grille!E26</f>
        <v>1B</v>
      </c>
      <c r="D19" s="222">
        <f>grille!F26</f>
        <v>0</v>
      </c>
      <c r="E19" s="222" t="str">
        <f>IF(grille!G26="","",grille!G26)</f>
        <v/>
      </c>
      <c r="F19" s="222" t="str">
        <f>IF(grille!H26="","",grille!H26)</f>
        <v/>
      </c>
      <c r="G19" s="222"/>
      <c r="H19" s="222" t="str">
        <f>grille!J26</f>
        <v>2A</v>
      </c>
      <c r="I19" s="222" t="str">
        <f>grille!K26</f>
        <v/>
      </c>
      <c r="J19" s="170" t="str">
        <f t="shared" si="0"/>
        <v/>
      </c>
      <c r="K19" s="170" t="str">
        <f t="shared" si="1"/>
        <v/>
      </c>
    </row>
    <row r="20" spans="1:11" x14ac:dyDescent="0.25">
      <c r="A20" s="222" t="str">
        <f>grille!C27</f>
        <v>19</v>
      </c>
      <c r="B20" s="222" t="str">
        <f>grille!D27</f>
        <v/>
      </c>
      <c r="C20" s="222" t="str">
        <f>grille!E27</f>
        <v>2D</v>
      </c>
      <c r="D20" s="222">
        <f>grille!F27</f>
        <v>0</v>
      </c>
      <c r="E20" s="222" t="str">
        <f>IF(grille!G27="","",grille!G27)</f>
        <v/>
      </c>
      <c r="F20" s="222" t="str">
        <f>IF(grille!H27="","",grille!H27)</f>
        <v/>
      </c>
      <c r="G20" s="222"/>
      <c r="H20" s="222" t="str">
        <f>grille!J27</f>
        <v>1C</v>
      </c>
      <c r="I20" s="222" t="str">
        <f>grille!K27</f>
        <v/>
      </c>
      <c r="J20" s="170" t="str">
        <f t="shared" si="0"/>
        <v/>
      </c>
      <c r="K20" s="170" t="str">
        <f t="shared" si="1"/>
        <v/>
      </c>
    </row>
    <row r="21" spans="1:11" x14ac:dyDescent="0.25">
      <c r="A21" s="222" t="str">
        <f>grille!C28</f>
        <v>20</v>
      </c>
      <c r="B21" s="222" t="str">
        <f>grille!D28</f>
        <v/>
      </c>
      <c r="C21" s="222" t="str">
        <f>grille!E28</f>
        <v>1D</v>
      </c>
      <c r="D21" s="222">
        <f>grille!F28</f>
        <v>0</v>
      </c>
      <c r="E21" s="222" t="str">
        <f>IF(grille!G28="","",grille!G28)</f>
        <v/>
      </c>
      <c r="F21" s="222" t="str">
        <f>IF(grille!H28="","",grille!H28)</f>
        <v/>
      </c>
      <c r="G21" s="222"/>
      <c r="H21" s="222" t="str">
        <f>grille!J28</f>
        <v>2C</v>
      </c>
      <c r="I21" s="222" t="str">
        <f>grille!K28</f>
        <v/>
      </c>
      <c r="J21" s="170" t="str">
        <f t="shared" si="0"/>
        <v/>
      </c>
      <c r="K21" s="170" t="str">
        <f t="shared" si="1"/>
        <v/>
      </c>
    </row>
    <row r="22" spans="1:11" x14ac:dyDescent="0.25">
      <c r="A22" s="222" t="str">
        <f>grille!C29</f>
        <v>21</v>
      </c>
      <c r="B22" s="222" t="str">
        <f>grille!D29</f>
        <v/>
      </c>
      <c r="C22" s="222" t="str">
        <f>grille!E29</f>
        <v>3C</v>
      </c>
      <c r="D22" s="222">
        <f>grille!F29</f>
        <v>0</v>
      </c>
      <c r="E22" s="222" t="str">
        <f>IF(grille!G29="","",grille!G29)</f>
        <v/>
      </c>
      <c r="F22" s="222" t="str">
        <f>IF(grille!H29="","",grille!H29)</f>
        <v/>
      </c>
      <c r="G22" s="222"/>
      <c r="H22" s="222" t="str">
        <f>grille!J29</f>
        <v>3D</v>
      </c>
      <c r="I22" s="222" t="str">
        <f>grille!K29</f>
        <v/>
      </c>
      <c r="J22" s="170" t="str">
        <f t="shared" si="0"/>
        <v/>
      </c>
      <c r="K22" s="170" t="str">
        <f t="shared" si="1"/>
        <v/>
      </c>
    </row>
    <row r="23" spans="1:11" x14ac:dyDescent="0.25">
      <c r="A23" s="222" t="str">
        <f>grille!C30</f>
        <v>22</v>
      </c>
      <c r="B23" s="222" t="str">
        <f>grille!D30</f>
        <v/>
      </c>
      <c r="C23" s="222" t="str">
        <f>grille!E30</f>
        <v>3A</v>
      </c>
      <c r="D23" s="222">
        <f>grille!F30</f>
        <v>0</v>
      </c>
      <c r="E23" s="222" t="str">
        <f>IF(grille!G30="","",grille!G30)</f>
        <v/>
      </c>
      <c r="F23" s="222" t="str">
        <f>IF(grille!H30="","",grille!H30)</f>
        <v/>
      </c>
      <c r="G23" s="222"/>
      <c r="H23" s="222" t="str">
        <f>grille!J30</f>
        <v>3B</v>
      </c>
      <c r="I23" s="222" t="str">
        <f>grille!K30</f>
        <v/>
      </c>
      <c r="J23" s="170" t="str">
        <f t="shared" si="0"/>
        <v/>
      </c>
      <c r="K23" s="170" t="str">
        <f t="shared" si="1"/>
        <v/>
      </c>
    </row>
    <row r="24" spans="1:11" hidden="1" x14ac:dyDescent="0.25">
      <c r="A24" s="222">
        <f>grille!C31</f>
        <v>0</v>
      </c>
      <c r="B24" s="222">
        <f>grille!D31</f>
        <v>0</v>
      </c>
      <c r="C24" s="222">
        <f>grille!E31</f>
        <v>0</v>
      </c>
      <c r="D24" s="222">
        <f>grille!F31</f>
        <v>0</v>
      </c>
      <c r="E24" s="222" t="str">
        <f>IF(grille!G31="","",grille!G31)</f>
        <v/>
      </c>
      <c r="F24" s="222" t="str">
        <f>IF(grille!H31="","",grille!H31)</f>
        <v/>
      </c>
      <c r="G24" s="222"/>
      <c r="H24" s="222">
        <f>grille!J31</f>
        <v>0</v>
      </c>
      <c r="I24" s="222">
        <f>grille!K31</f>
        <v>0</v>
      </c>
      <c r="J24" s="170" t="str">
        <f t="shared" ref="J24:J30" si="2">IF(AND(E24="",F24=""),"",IF(E24="F",0,IF(F24="F",4,IF(E24=F24,2,IF(E24&gt;F24,4,1)))))</f>
        <v/>
      </c>
      <c r="K24" s="170" t="str">
        <f t="shared" ref="K24:K30" si="3">IF(AND(F24="",E24=""),"",IF(F24="f",0,IF(E24="f",4,IF(E24=F24,2,IF(E24&gt;F24,1,4)))))</f>
        <v/>
      </c>
    </row>
    <row r="25" spans="1:11" hidden="1" x14ac:dyDescent="0.25">
      <c r="A25" s="222">
        <f>grille!C32</f>
        <v>0</v>
      </c>
      <c r="B25" s="222">
        <f>grille!D32</f>
        <v>0</v>
      </c>
      <c r="C25" s="222">
        <f>grille!E32</f>
        <v>0</v>
      </c>
      <c r="D25" s="222">
        <f>grille!F32</f>
        <v>0</v>
      </c>
      <c r="E25" s="222" t="str">
        <f>IF(grille!G32="","",grille!G32)</f>
        <v/>
      </c>
      <c r="F25" s="222" t="str">
        <f>IF(grille!H32="","",grille!H32)</f>
        <v/>
      </c>
      <c r="G25" s="222"/>
      <c r="H25" s="222">
        <f>grille!J32</f>
        <v>0</v>
      </c>
      <c r="I25" s="222">
        <f>grille!K32</f>
        <v>0</v>
      </c>
      <c r="J25" s="170" t="str">
        <f t="shared" si="2"/>
        <v/>
      </c>
      <c r="K25" s="170" t="str">
        <f t="shared" si="3"/>
        <v/>
      </c>
    </row>
    <row r="26" spans="1:11" hidden="1" x14ac:dyDescent="0.25">
      <c r="A26" s="222">
        <f>grille!C33</f>
        <v>0</v>
      </c>
      <c r="B26" s="222">
        <f>grille!D33</f>
        <v>0</v>
      </c>
      <c r="C26" s="222">
        <f>grille!E33</f>
        <v>0</v>
      </c>
      <c r="D26" s="222">
        <f>grille!F33</f>
        <v>0</v>
      </c>
      <c r="E26" s="222" t="str">
        <f>IF(grille!G33="","",grille!G33)</f>
        <v/>
      </c>
      <c r="F26" s="222" t="str">
        <f>IF(grille!H33="","",grille!H33)</f>
        <v/>
      </c>
      <c r="G26" s="222"/>
      <c r="H26" s="222">
        <f>grille!J33</f>
        <v>0</v>
      </c>
      <c r="I26" s="222">
        <f>grille!K33</f>
        <v>0</v>
      </c>
      <c r="J26" s="170" t="str">
        <f t="shared" si="2"/>
        <v/>
      </c>
      <c r="K26" s="170" t="str">
        <f t="shared" si="3"/>
        <v/>
      </c>
    </row>
    <row r="27" spans="1:11" x14ac:dyDescent="0.25">
      <c r="A27" s="222">
        <f>grille!C34</f>
        <v>23</v>
      </c>
      <c r="B27" s="222" t="str">
        <f>grille!D34</f>
        <v/>
      </c>
      <c r="C27" s="222" t="str">
        <f>grille!E34</f>
        <v>2X</v>
      </c>
      <c r="D27" s="222">
        <f>grille!F34</f>
        <v>0</v>
      </c>
      <c r="E27" s="222" t="str">
        <f>IF(grille!G34="","",grille!G34)</f>
        <v/>
      </c>
      <c r="F27" s="222" t="str">
        <f>IF(grille!H34="","",grille!H34)</f>
        <v/>
      </c>
      <c r="G27" s="222"/>
      <c r="H27" s="222" t="str">
        <f>grille!J34</f>
        <v>2Y</v>
      </c>
      <c r="I27" s="222" t="str">
        <f>grille!K34</f>
        <v/>
      </c>
      <c r="J27" s="170" t="str">
        <f t="shared" si="2"/>
        <v/>
      </c>
      <c r="K27" s="170" t="str">
        <f t="shared" si="3"/>
        <v/>
      </c>
    </row>
    <row r="28" spans="1:11" x14ac:dyDescent="0.25">
      <c r="A28" s="222">
        <f>grille!C35</f>
        <v>24</v>
      </c>
      <c r="B28" s="222" t="str">
        <f>grille!D35</f>
        <v/>
      </c>
      <c r="C28" s="222" t="str">
        <f>grille!E35</f>
        <v>3X</v>
      </c>
      <c r="D28" s="222">
        <f>grille!F35</f>
        <v>0</v>
      </c>
      <c r="E28" s="222" t="str">
        <f>IF(grille!G35="","",grille!G35)</f>
        <v/>
      </c>
      <c r="F28" s="222" t="str">
        <f>IF(grille!H35="","",grille!H35)</f>
        <v/>
      </c>
      <c r="G28" s="222"/>
      <c r="H28" s="222" t="str">
        <f>grille!J35</f>
        <v>3Y</v>
      </c>
      <c r="I28" s="222" t="str">
        <f>grille!K35</f>
        <v/>
      </c>
      <c r="J28" s="170" t="str">
        <f t="shared" si="2"/>
        <v/>
      </c>
      <c r="K28" s="170" t="str">
        <f t="shared" si="3"/>
        <v/>
      </c>
    </row>
    <row r="29" spans="1:11" x14ac:dyDescent="0.25">
      <c r="A29" s="222">
        <f>grille!C36</f>
        <v>25</v>
      </c>
      <c r="B29" s="222" t="str">
        <f>grille!D36</f>
        <v/>
      </c>
      <c r="C29" s="222" t="str">
        <f>grille!E36</f>
        <v>4X</v>
      </c>
      <c r="D29" s="222">
        <f>grille!F36</f>
        <v>0</v>
      </c>
      <c r="E29" s="222" t="str">
        <f>IF(grille!G36="","",grille!G36)</f>
        <v/>
      </c>
      <c r="F29" s="222" t="str">
        <f>IF(grille!H36="","",grille!H36)</f>
        <v/>
      </c>
      <c r="G29" s="222"/>
      <c r="H29" s="222" t="str">
        <f>grille!J36</f>
        <v>3C</v>
      </c>
      <c r="I29" s="222" t="str">
        <f>grille!K36</f>
        <v/>
      </c>
      <c r="J29" s="170" t="str">
        <f t="shared" si="2"/>
        <v/>
      </c>
      <c r="K29" s="170" t="str">
        <f t="shared" si="3"/>
        <v/>
      </c>
    </row>
    <row r="30" spans="1:11" x14ac:dyDescent="0.25">
      <c r="A30" s="222">
        <f>grille!C37</f>
        <v>26</v>
      </c>
      <c r="B30" s="222" t="str">
        <f>grille!D37</f>
        <v/>
      </c>
      <c r="C30" s="222" t="str">
        <f>grille!E37</f>
        <v>4Y</v>
      </c>
      <c r="D30" s="222">
        <f>grille!F37</f>
        <v>0</v>
      </c>
      <c r="E30" s="222" t="str">
        <f>IF(grille!G37="","",grille!G37)</f>
        <v/>
      </c>
      <c r="F30" s="222" t="str">
        <f>IF(grille!H37="","",grille!H37)</f>
        <v/>
      </c>
      <c r="G30" s="222"/>
      <c r="H30" s="222" t="str">
        <f>grille!J37</f>
        <v>3A</v>
      </c>
      <c r="I30" s="222" t="str">
        <f>grille!K37</f>
        <v/>
      </c>
      <c r="J30" s="170" t="str">
        <f t="shared" si="2"/>
        <v/>
      </c>
      <c r="K30" s="170" t="str">
        <f t="shared" si="3"/>
        <v/>
      </c>
    </row>
    <row r="31" spans="1:11" x14ac:dyDescent="0.25">
      <c r="A31" s="222">
        <f>grille!C38</f>
        <v>27</v>
      </c>
      <c r="B31" s="222" t="str">
        <f>grille!D38</f>
        <v/>
      </c>
      <c r="C31" s="222" t="str">
        <f>grille!E38</f>
        <v>3Y</v>
      </c>
      <c r="D31" s="222">
        <f>grille!F38</f>
        <v>0</v>
      </c>
      <c r="E31" s="222" t="str">
        <f>IF(grille!G38="","",grille!G38)</f>
        <v/>
      </c>
      <c r="F31" s="222" t="str">
        <f>IF(grille!H38="","",grille!H38)</f>
        <v/>
      </c>
      <c r="G31" s="222"/>
      <c r="H31" s="222" t="str">
        <f>grille!J38</f>
        <v>2X</v>
      </c>
      <c r="I31" s="222" t="str">
        <f>grille!K38</f>
        <v/>
      </c>
      <c r="J31" s="170" t="str">
        <f>IF(AND(E31="",F31=""),"",IF(E31="F",0,IF(F31="F",4,IF(E31=F31,2,IF(E31&gt;F31,4,1)))))</f>
        <v/>
      </c>
      <c r="K31" s="170" t="str">
        <f>IF(AND(F31="",E31=""),"",IF(F31="f",0,IF(E31="f",4,IF(E31=F31,2,IF(E31&gt;F31,1,4)))))</f>
        <v/>
      </c>
    </row>
    <row r="32" spans="1:11" x14ac:dyDescent="0.25">
      <c r="A32" s="222">
        <f>grille!C39</f>
        <v>28</v>
      </c>
      <c r="B32" s="222" t="str">
        <f>grille!D39</f>
        <v/>
      </c>
      <c r="C32" s="222" t="str">
        <f>grille!E39</f>
        <v>2Y</v>
      </c>
      <c r="D32" s="222">
        <f>grille!F39</f>
        <v>0</v>
      </c>
      <c r="E32" s="222" t="str">
        <f>IF(grille!G39="","",grille!G39)</f>
        <v/>
      </c>
      <c r="F32" s="222" t="str">
        <f>IF(grille!H39="","",grille!H39)</f>
        <v/>
      </c>
      <c r="G32" s="222"/>
      <c r="H32" s="222" t="str">
        <f>grille!J39</f>
        <v>3X</v>
      </c>
      <c r="I32" s="222" t="str">
        <f>grille!K39</f>
        <v/>
      </c>
      <c r="J32" s="170" t="str">
        <f>IF(AND(E32="",F32=""),"",IF(E32="F",0,IF(F32="F",4,IF(E32=F32,2,IF(E32&gt;F32,4,1)))))</f>
        <v/>
      </c>
      <c r="K32" s="170" t="str">
        <f>IF(AND(F32="",E32=""),"",IF(F32="f",0,IF(E32="f",4,IF(E32=F32,2,IF(E32&gt;F32,1,4)))))</f>
        <v/>
      </c>
    </row>
    <row r="33" spans="1:12" x14ac:dyDescent="0.25">
      <c r="A33" s="222">
        <f>grille!C40</f>
        <v>29</v>
      </c>
      <c r="B33" s="222" t="str">
        <f>grille!D40</f>
        <v/>
      </c>
      <c r="C33" s="222" t="str">
        <f>grille!E40</f>
        <v>3D</v>
      </c>
      <c r="D33" s="222">
        <f>grille!F40</f>
        <v>0</v>
      </c>
      <c r="E33" s="222" t="str">
        <f>IF(grille!G40="","",grille!G40)</f>
        <v/>
      </c>
      <c r="F33" s="222" t="str">
        <f>IF(grille!H40="","",grille!H40)</f>
        <v/>
      </c>
      <c r="G33" s="222"/>
      <c r="H33" s="222" t="str">
        <f>grille!J40</f>
        <v>4X</v>
      </c>
      <c r="I33" s="222" t="str">
        <f>grille!K40</f>
        <v/>
      </c>
      <c r="J33" s="170" t="str">
        <f>IF(AND(E33="",F33=""),"",IF(E33="F",0,IF(F33="F",4,IF(E33=F33,2,IF(E33&gt;F33,4,1)))))</f>
        <v/>
      </c>
      <c r="K33" s="170" t="str">
        <f>IF(AND(F33="",E33=""),"",IF(F33="f",0,IF(E33="f",4,IF(E33=F33,2,IF(E33&gt;F33,1,4)))))</f>
        <v/>
      </c>
    </row>
    <row r="34" spans="1:12" x14ac:dyDescent="0.25">
      <c r="A34" s="222">
        <f>grille!C41</f>
        <v>30</v>
      </c>
      <c r="B34" s="222" t="str">
        <f>grille!D41</f>
        <v/>
      </c>
      <c r="C34" s="222" t="str">
        <f>grille!E41</f>
        <v>3B</v>
      </c>
      <c r="D34" s="222">
        <f>grille!F41</f>
        <v>0</v>
      </c>
      <c r="E34" s="222" t="str">
        <f>IF(grille!G41="","",grille!G41)</f>
        <v/>
      </c>
      <c r="F34" s="222" t="str">
        <f>IF(grille!H41="","",grille!H41)</f>
        <v/>
      </c>
      <c r="G34" s="222"/>
      <c r="H34" s="222" t="str">
        <f>grille!J41</f>
        <v>4Y</v>
      </c>
      <c r="I34" s="222" t="str">
        <f>grille!K41</f>
        <v/>
      </c>
      <c r="J34" s="170" t="str">
        <f>IF(AND(E34="",F34=""),"",IF(E34="F",0,IF(F34="F",4,IF(E34=F34,2,IF(E34&gt;F34,4,1)))))</f>
        <v/>
      </c>
      <c r="K34" s="170" t="str">
        <f>IF(AND(F34="",E34=""),"",IF(F34="f",0,IF(E34="f",4,IF(E34=F34,2,IF(E34&gt;F34,1,4)))))</f>
        <v/>
      </c>
    </row>
    <row r="38" spans="1:12" x14ac:dyDescent="0.25">
      <c r="E38"/>
      <c r="F38"/>
      <c r="G38"/>
      <c r="J38"/>
      <c r="K38"/>
    </row>
    <row r="39" spans="1:12" ht="26.4" x14ac:dyDescent="0.25">
      <c r="A39" s="223"/>
      <c r="B39" s="224" t="s">
        <v>151</v>
      </c>
      <c r="C39" s="224" t="s">
        <v>152</v>
      </c>
      <c r="D39" s="224" t="s">
        <v>153</v>
      </c>
      <c r="E39" s="225" t="s">
        <v>154</v>
      </c>
      <c r="F39" s="226" t="s">
        <v>155</v>
      </c>
      <c r="G39" s="171"/>
      <c r="H39" s="168"/>
      <c r="J39" s="271" t="s">
        <v>160</v>
      </c>
      <c r="K39" s="272"/>
      <c r="L39" s="272"/>
    </row>
    <row r="40" spans="1:12" x14ac:dyDescent="0.25">
      <c r="A40" s="223" t="str">
        <f>A2</f>
        <v>1</v>
      </c>
      <c r="B40" s="223" t="str">
        <f>B2</f>
        <v>NEUILLY</v>
      </c>
      <c r="C40" s="223" t="str">
        <f>C2</f>
        <v>A1</v>
      </c>
      <c r="D40" s="223"/>
      <c r="E40" s="223" t="str">
        <f t="shared" ref="E40:F51" si="4">E2</f>
        <v/>
      </c>
      <c r="F40" s="227" t="str">
        <f t="shared" si="4"/>
        <v/>
      </c>
      <c r="H40" s="168"/>
      <c r="J40"/>
      <c r="K40"/>
    </row>
    <row r="41" spans="1:12" x14ac:dyDescent="0.25">
      <c r="A41" s="223" t="str">
        <f t="shared" ref="A41:C51" si="5">A3</f>
        <v>2</v>
      </c>
      <c r="B41" s="223" t="str">
        <f t="shared" si="5"/>
        <v>FONTENAY</v>
      </c>
      <c r="C41" s="223" t="str">
        <f t="shared" si="5"/>
        <v>B2</v>
      </c>
      <c r="D41" s="223"/>
      <c r="E41" s="223" t="str">
        <f t="shared" si="4"/>
        <v/>
      </c>
      <c r="F41" s="227" t="str">
        <f t="shared" si="4"/>
        <v/>
      </c>
      <c r="H41" s="168"/>
      <c r="J41" s="172"/>
      <c r="K41" s="184" t="s">
        <v>156</v>
      </c>
      <c r="L41" s="173"/>
    </row>
    <row r="42" spans="1:12" x14ac:dyDescent="0.25">
      <c r="A42" s="223" t="str">
        <f t="shared" si="5"/>
        <v>3</v>
      </c>
      <c r="B42" s="223" t="str">
        <f t="shared" si="5"/>
        <v>PONTOISE</v>
      </c>
      <c r="C42" s="223" t="str">
        <f t="shared" si="5"/>
        <v>C3</v>
      </c>
      <c r="D42" s="223"/>
      <c r="E42" s="223" t="str">
        <f t="shared" si="4"/>
        <v/>
      </c>
      <c r="F42" s="227" t="str">
        <f t="shared" si="4"/>
        <v/>
      </c>
      <c r="H42" s="168"/>
      <c r="J42" s="184" t="s">
        <v>152</v>
      </c>
      <c r="K42" s="172" t="s">
        <v>157</v>
      </c>
      <c r="L42" s="174" t="s">
        <v>158</v>
      </c>
    </row>
    <row r="43" spans="1:12" x14ac:dyDescent="0.25">
      <c r="A43" s="223" t="str">
        <f t="shared" si="5"/>
        <v>4</v>
      </c>
      <c r="B43" s="223" t="str">
        <f t="shared" si="5"/>
        <v>PESSAC</v>
      </c>
      <c r="C43" s="223" t="str">
        <f t="shared" si="5"/>
        <v>D4</v>
      </c>
      <c r="D43" s="223"/>
      <c r="E43" s="223" t="str">
        <f t="shared" si="4"/>
        <v/>
      </c>
      <c r="F43" s="227" t="str">
        <f t="shared" si="4"/>
        <v/>
      </c>
      <c r="H43" s="168"/>
      <c r="J43" s="172" t="s">
        <v>7</v>
      </c>
      <c r="K43" s="175">
        <v>0</v>
      </c>
      <c r="L43" s="176">
        <v>0</v>
      </c>
    </row>
    <row r="44" spans="1:12" x14ac:dyDescent="0.25">
      <c r="A44" s="223" t="str">
        <f t="shared" si="5"/>
        <v>5</v>
      </c>
      <c r="B44" s="223" t="str">
        <f t="shared" si="5"/>
        <v>LA GUERCHE</v>
      </c>
      <c r="C44" s="223" t="str">
        <f t="shared" si="5"/>
        <v>A5</v>
      </c>
      <c r="D44" s="223"/>
      <c r="E44" s="223" t="str">
        <f t="shared" si="4"/>
        <v/>
      </c>
      <c r="F44" s="227" t="str">
        <f t="shared" si="4"/>
        <v/>
      </c>
      <c r="H44" s="168"/>
      <c r="J44" s="177" t="s">
        <v>8</v>
      </c>
      <c r="K44" s="178">
        <v>0</v>
      </c>
      <c r="L44" s="179">
        <v>0</v>
      </c>
    </row>
    <row r="45" spans="1:12" x14ac:dyDescent="0.25">
      <c r="A45" s="223" t="str">
        <f t="shared" si="5"/>
        <v>6</v>
      </c>
      <c r="B45" s="223" t="str">
        <f t="shared" si="5"/>
        <v>LE CHESNAY/CLAMART</v>
      </c>
      <c r="C45" s="223" t="str">
        <f t="shared" si="5"/>
        <v>B6</v>
      </c>
      <c r="D45" s="223"/>
      <c r="E45" s="223" t="str">
        <f t="shared" si="4"/>
        <v/>
      </c>
      <c r="F45" s="227" t="str">
        <f t="shared" si="4"/>
        <v/>
      </c>
      <c r="H45" s="168"/>
      <c r="J45" s="177" t="s">
        <v>15</v>
      </c>
      <c r="K45" s="178">
        <v>0</v>
      </c>
      <c r="L45" s="179">
        <v>0</v>
      </c>
    </row>
    <row r="46" spans="1:12" x14ac:dyDescent="0.25">
      <c r="A46" s="223" t="str">
        <f t="shared" si="5"/>
        <v>7</v>
      </c>
      <c r="B46" s="223" t="str">
        <f t="shared" si="5"/>
        <v>LILLE</v>
      </c>
      <c r="C46" s="223" t="str">
        <f t="shared" si="5"/>
        <v>C7</v>
      </c>
      <c r="D46" s="223"/>
      <c r="E46" s="223" t="str">
        <f t="shared" si="4"/>
        <v/>
      </c>
      <c r="F46" s="227" t="str">
        <f t="shared" si="4"/>
        <v/>
      </c>
      <c r="H46" s="168"/>
      <c r="J46" s="177" t="s">
        <v>9</v>
      </c>
      <c r="K46" s="178">
        <v>0</v>
      </c>
      <c r="L46" s="179">
        <v>0</v>
      </c>
    </row>
    <row r="47" spans="1:12" x14ac:dyDescent="0.25">
      <c r="A47" s="223" t="str">
        <f t="shared" si="5"/>
        <v>8</v>
      </c>
      <c r="B47" s="223" t="str">
        <f t="shared" si="5"/>
        <v>LAGNY</v>
      </c>
      <c r="C47" s="223" t="str">
        <f t="shared" si="5"/>
        <v>D8</v>
      </c>
      <c r="D47" s="223"/>
      <c r="E47" s="223" t="str">
        <f t="shared" si="4"/>
        <v/>
      </c>
      <c r="F47" s="227" t="str">
        <f t="shared" si="4"/>
        <v/>
      </c>
      <c r="H47" s="168"/>
      <c r="J47" s="177" t="s">
        <v>12</v>
      </c>
      <c r="K47" s="178">
        <v>0</v>
      </c>
      <c r="L47" s="179">
        <v>0</v>
      </c>
    </row>
    <row r="48" spans="1:12" x14ac:dyDescent="0.25">
      <c r="A48" s="223" t="str">
        <f t="shared" si="5"/>
        <v>9</v>
      </c>
      <c r="B48" s="223" t="str">
        <f t="shared" si="5"/>
        <v>LAGNY 2</v>
      </c>
      <c r="C48" s="223" t="str">
        <f t="shared" si="5"/>
        <v>A9</v>
      </c>
      <c r="D48" s="223"/>
      <c r="E48" s="223" t="str">
        <f t="shared" si="4"/>
        <v/>
      </c>
      <c r="F48" s="227" t="str">
        <f t="shared" si="4"/>
        <v/>
      </c>
      <c r="H48" s="168"/>
      <c r="J48" s="177" t="s">
        <v>16</v>
      </c>
      <c r="K48" s="178">
        <v>0</v>
      </c>
      <c r="L48" s="179">
        <v>0</v>
      </c>
    </row>
    <row r="49" spans="1:12" x14ac:dyDescent="0.25">
      <c r="A49" s="223" t="str">
        <f t="shared" si="5"/>
        <v>10</v>
      </c>
      <c r="B49" s="223" t="str">
        <f t="shared" si="5"/>
        <v>MOIRANS</v>
      </c>
      <c r="C49" s="223" t="str">
        <f t="shared" si="5"/>
        <v>B10</v>
      </c>
      <c r="D49" s="223"/>
      <c r="E49" s="223" t="str">
        <f t="shared" si="4"/>
        <v/>
      </c>
      <c r="F49" s="227" t="str">
        <f t="shared" si="4"/>
        <v/>
      </c>
      <c r="H49" s="168"/>
      <c r="J49" s="177" t="s">
        <v>10</v>
      </c>
      <c r="K49" s="178">
        <v>0</v>
      </c>
      <c r="L49" s="179">
        <v>0</v>
      </c>
    </row>
    <row r="50" spans="1:12" x14ac:dyDescent="0.25">
      <c r="A50" s="223" t="str">
        <f t="shared" si="5"/>
        <v>11</v>
      </c>
      <c r="B50" s="223" t="str">
        <f t="shared" si="5"/>
        <v>LAGNY3/HYERES</v>
      </c>
      <c r="C50" s="223" t="str">
        <f t="shared" si="5"/>
        <v>C11</v>
      </c>
      <c r="D50" s="223"/>
      <c r="E50" s="223" t="str">
        <f t="shared" si="4"/>
        <v/>
      </c>
      <c r="F50" s="227" t="str">
        <f t="shared" si="4"/>
        <v/>
      </c>
      <c r="H50" s="168"/>
      <c r="J50" s="177" t="s">
        <v>13</v>
      </c>
      <c r="K50" s="178">
        <v>0</v>
      </c>
      <c r="L50" s="179">
        <v>0</v>
      </c>
    </row>
    <row r="51" spans="1:12" x14ac:dyDescent="0.25">
      <c r="A51" s="223" t="str">
        <f t="shared" si="5"/>
        <v>12</v>
      </c>
      <c r="B51" s="223" t="str">
        <f t="shared" si="5"/>
        <v>COMBOURG/QUIMPERLE</v>
      </c>
      <c r="C51" s="223" t="str">
        <f t="shared" si="5"/>
        <v>D12</v>
      </c>
      <c r="D51" s="223"/>
      <c r="E51" s="223" t="str">
        <f t="shared" si="4"/>
        <v/>
      </c>
      <c r="F51" s="227" t="str">
        <f t="shared" si="4"/>
        <v/>
      </c>
      <c r="H51" s="168"/>
      <c r="J51" s="177" t="s">
        <v>17</v>
      </c>
      <c r="K51" s="178">
        <v>0</v>
      </c>
      <c r="L51" s="179">
        <v>0</v>
      </c>
    </row>
    <row r="52" spans="1:12" x14ac:dyDescent="0.25">
      <c r="A52" s="223" t="str">
        <f t="shared" ref="A52:A63" si="6">A2</f>
        <v>1</v>
      </c>
      <c r="B52" s="223" t="str">
        <f>I2</f>
        <v>LA GUERCHE</v>
      </c>
      <c r="C52" s="223" t="str">
        <f>H2</f>
        <v>A5</v>
      </c>
      <c r="D52" s="223"/>
      <c r="E52" s="223" t="str">
        <f t="shared" ref="E52:E63" si="7">F2</f>
        <v/>
      </c>
      <c r="F52" s="227" t="str">
        <f t="shared" ref="F52:F63" si="8">E2</f>
        <v/>
      </c>
      <c r="H52" s="168"/>
      <c r="J52" s="177" t="s">
        <v>11</v>
      </c>
      <c r="K52" s="178">
        <v>0</v>
      </c>
      <c r="L52" s="179">
        <v>0</v>
      </c>
    </row>
    <row r="53" spans="1:12" x14ac:dyDescent="0.25">
      <c r="A53" s="223" t="str">
        <f t="shared" si="6"/>
        <v>2</v>
      </c>
      <c r="B53" s="223" t="str">
        <f t="shared" ref="B53:B63" si="9">I3</f>
        <v>LE CHESNAY/CLAMART</v>
      </c>
      <c r="C53" s="223" t="str">
        <f t="shared" ref="C53:C63" si="10">H3</f>
        <v>B6</v>
      </c>
      <c r="D53" s="223"/>
      <c r="E53" s="223" t="str">
        <f t="shared" si="7"/>
        <v/>
      </c>
      <c r="F53" s="227" t="str">
        <f t="shared" si="8"/>
        <v/>
      </c>
      <c r="H53" s="168"/>
      <c r="J53" s="177" t="s">
        <v>14</v>
      </c>
      <c r="K53" s="178">
        <v>0</v>
      </c>
      <c r="L53" s="179">
        <v>0</v>
      </c>
    </row>
    <row r="54" spans="1:12" x14ac:dyDescent="0.25">
      <c r="A54" s="223" t="str">
        <f t="shared" si="6"/>
        <v>3</v>
      </c>
      <c r="B54" s="223" t="str">
        <f t="shared" si="9"/>
        <v>LILLE</v>
      </c>
      <c r="C54" s="223" t="str">
        <f t="shared" si="10"/>
        <v>C7</v>
      </c>
      <c r="D54" s="223"/>
      <c r="E54" s="223" t="str">
        <f t="shared" si="7"/>
        <v/>
      </c>
      <c r="F54" s="227" t="str">
        <f t="shared" si="8"/>
        <v/>
      </c>
      <c r="H54" s="168"/>
      <c r="J54" s="177" t="s">
        <v>18</v>
      </c>
      <c r="K54" s="178">
        <v>0</v>
      </c>
      <c r="L54" s="179">
        <v>0</v>
      </c>
    </row>
    <row r="55" spans="1:12" x14ac:dyDescent="0.25">
      <c r="A55" s="223" t="str">
        <f t="shared" si="6"/>
        <v>4</v>
      </c>
      <c r="B55" s="223" t="str">
        <f t="shared" si="9"/>
        <v>LAGNY</v>
      </c>
      <c r="C55" s="223" t="str">
        <f t="shared" si="10"/>
        <v>D8</v>
      </c>
      <c r="D55" s="223"/>
      <c r="E55" s="223" t="str">
        <f t="shared" si="7"/>
        <v/>
      </c>
      <c r="F55" s="227" t="str">
        <f t="shared" si="8"/>
        <v/>
      </c>
      <c r="H55" s="168"/>
      <c r="J55" s="180" t="s">
        <v>159</v>
      </c>
      <c r="K55" s="181">
        <v>0</v>
      </c>
      <c r="L55" s="182">
        <v>0</v>
      </c>
    </row>
    <row r="56" spans="1:12" x14ac:dyDescent="0.25">
      <c r="A56" s="223" t="str">
        <f t="shared" si="6"/>
        <v>5</v>
      </c>
      <c r="B56" s="223" t="str">
        <f t="shared" si="9"/>
        <v>LAGNY 2</v>
      </c>
      <c r="C56" s="223" t="str">
        <f t="shared" si="10"/>
        <v>A9</v>
      </c>
      <c r="D56" s="223"/>
      <c r="E56" s="223" t="str">
        <f t="shared" si="7"/>
        <v/>
      </c>
      <c r="F56" s="227" t="str">
        <f t="shared" si="8"/>
        <v/>
      </c>
      <c r="H56" s="168"/>
      <c r="J56"/>
      <c r="K56"/>
    </row>
    <row r="57" spans="1:12" x14ac:dyDescent="0.25">
      <c r="A57" s="223" t="str">
        <f t="shared" si="6"/>
        <v>6</v>
      </c>
      <c r="B57" s="223" t="str">
        <f t="shared" si="9"/>
        <v>MOIRANS</v>
      </c>
      <c r="C57" s="223" t="str">
        <f t="shared" si="10"/>
        <v>B10</v>
      </c>
      <c r="D57" s="223"/>
      <c r="E57" s="223" t="str">
        <f t="shared" si="7"/>
        <v/>
      </c>
      <c r="F57" s="227" t="str">
        <f t="shared" si="8"/>
        <v/>
      </c>
      <c r="H57" s="168"/>
      <c r="J57"/>
      <c r="K57"/>
    </row>
    <row r="58" spans="1:12" x14ac:dyDescent="0.25">
      <c r="A58" s="223" t="str">
        <f t="shared" si="6"/>
        <v>7</v>
      </c>
      <c r="B58" s="223" t="str">
        <f t="shared" si="9"/>
        <v>LAGNY3/HYERES</v>
      </c>
      <c r="C58" s="223" t="str">
        <f t="shared" si="10"/>
        <v>C11</v>
      </c>
      <c r="D58" s="223"/>
      <c r="E58" s="223" t="str">
        <f t="shared" si="7"/>
        <v/>
      </c>
      <c r="F58" s="227" t="str">
        <f t="shared" si="8"/>
        <v/>
      </c>
      <c r="H58" s="168"/>
      <c r="J58" s="271" t="s">
        <v>161</v>
      </c>
      <c r="K58" s="272"/>
      <c r="L58" s="272"/>
    </row>
    <row r="59" spans="1:12" x14ac:dyDescent="0.25">
      <c r="A59" s="223" t="str">
        <f t="shared" si="6"/>
        <v>8</v>
      </c>
      <c r="B59" s="223" t="str">
        <f t="shared" si="9"/>
        <v>COMBOURG/QUIMPERLE</v>
      </c>
      <c r="C59" s="223" t="str">
        <f t="shared" si="10"/>
        <v>D12</v>
      </c>
      <c r="D59" s="223"/>
      <c r="E59" s="223" t="str">
        <f t="shared" si="7"/>
        <v/>
      </c>
      <c r="F59" s="227" t="str">
        <f t="shared" si="8"/>
        <v/>
      </c>
      <c r="H59" s="168"/>
      <c r="J59"/>
      <c r="K59"/>
    </row>
    <row r="60" spans="1:12" x14ac:dyDescent="0.25">
      <c r="A60" s="223" t="str">
        <f t="shared" si="6"/>
        <v>9</v>
      </c>
      <c r="B60" s="223" t="str">
        <f t="shared" si="9"/>
        <v>NEUILLY</v>
      </c>
      <c r="C60" s="223" t="str">
        <f t="shared" si="10"/>
        <v>A1</v>
      </c>
      <c r="D60" s="223"/>
      <c r="E60" s="223" t="str">
        <f t="shared" si="7"/>
        <v/>
      </c>
      <c r="F60" s="227" t="str">
        <f t="shared" si="8"/>
        <v/>
      </c>
      <c r="H60" s="168"/>
      <c r="J60" s="172"/>
      <c r="K60" s="184" t="s">
        <v>156</v>
      </c>
      <c r="L60" s="173"/>
    </row>
    <row r="61" spans="1:12" x14ac:dyDescent="0.25">
      <c r="A61" s="223" t="str">
        <f t="shared" si="6"/>
        <v>10</v>
      </c>
      <c r="B61" s="223" t="str">
        <f t="shared" si="9"/>
        <v>FONTENAY</v>
      </c>
      <c r="C61" s="223" t="str">
        <f t="shared" si="10"/>
        <v>B2</v>
      </c>
      <c r="D61" s="223"/>
      <c r="E61" s="223" t="str">
        <f t="shared" si="7"/>
        <v/>
      </c>
      <c r="F61" s="227" t="str">
        <f t="shared" si="8"/>
        <v/>
      </c>
      <c r="H61" s="168"/>
      <c r="J61" s="184" t="s">
        <v>152</v>
      </c>
      <c r="K61" s="172" t="s">
        <v>157</v>
      </c>
      <c r="L61" s="174" t="s">
        <v>158</v>
      </c>
    </row>
    <row r="62" spans="1:12" x14ac:dyDescent="0.25">
      <c r="A62" s="223" t="str">
        <f t="shared" si="6"/>
        <v>11</v>
      </c>
      <c r="B62" s="223" t="str">
        <f t="shared" si="9"/>
        <v>PONTOISE</v>
      </c>
      <c r="C62" s="223" t="str">
        <f t="shared" si="10"/>
        <v>C3</v>
      </c>
      <c r="D62" s="223"/>
      <c r="E62" s="223" t="str">
        <f t="shared" si="7"/>
        <v/>
      </c>
      <c r="F62" s="227" t="str">
        <f t="shared" si="8"/>
        <v/>
      </c>
      <c r="H62" s="168"/>
      <c r="J62" s="172" t="s">
        <v>19</v>
      </c>
      <c r="K62" s="175">
        <v>1</v>
      </c>
      <c r="L62" s="176">
        <v>11</v>
      </c>
    </row>
    <row r="63" spans="1:12" x14ac:dyDescent="0.25">
      <c r="A63" s="223" t="str">
        <f t="shared" si="6"/>
        <v>12</v>
      </c>
      <c r="B63" s="223" t="str">
        <f t="shared" si="9"/>
        <v>PESSAC</v>
      </c>
      <c r="C63" s="223" t="str">
        <f t="shared" si="10"/>
        <v>D4</v>
      </c>
      <c r="D63" s="223"/>
      <c r="E63" s="223" t="str">
        <f t="shared" si="7"/>
        <v/>
      </c>
      <c r="F63" s="227" t="str">
        <f t="shared" si="8"/>
        <v/>
      </c>
      <c r="H63" s="168"/>
      <c r="J63" s="177" t="s">
        <v>20</v>
      </c>
      <c r="K63" s="178">
        <v>4</v>
      </c>
      <c r="L63" s="179">
        <v>5</v>
      </c>
    </row>
    <row r="64" spans="1:12" x14ac:dyDescent="0.25">
      <c r="A64" s="228"/>
      <c r="B64" s="228"/>
      <c r="C64" s="228"/>
      <c r="D64" s="228"/>
      <c r="E64" s="228"/>
      <c r="F64" s="229"/>
      <c r="H64" s="168"/>
      <c r="J64" s="177" t="s">
        <v>24</v>
      </c>
      <c r="K64" s="178">
        <v>9</v>
      </c>
      <c r="L64" s="179">
        <v>4</v>
      </c>
    </row>
    <row r="65" spans="1:12" x14ac:dyDescent="0.25">
      <c r="A65" s="230" t="str">
        <f t="shared" ref="A65:C74" si="11">A14</f>
        <v>13</v>
      </c>
      <c r="B65" s="230" t="str">
        <f t="shared" si="11"/>
        <v/>
      </c>
      <c r="C65" s="230" t="str">
        <f t="shared" si="11"/>
        <v>1A</v>
      </c>
      <c r="D65" s="230"/>
      <c r="E65" s="230" t="str">
        <f t="shared" ref="E65:F74" si="12">E14</f>
        <v/>
      </c>
      <c r="F65" s="231" t="str">
        <f t="shared" si="12"/>
        <v/>
      </c>
      <c r="H65" s="168"/>
      <c r="J65" s="177" t="s">
        <v>23</v>
      </c>
      <c r="K65" s="178">
        <v>7</v>
      </c>
      <c r="L65" s="179">
        <v>1</v>
      </c>
    </row>
    <row r="66" spans="1:12" x14ac:dyDescent="0.25">
      <c r="A66" s="230" t="str">
        <f t="shared" si="11"/>
        <v>14</v>
      </c>
      <c r="B66" s="230" t="str">
        <f t="shared" si="11"/>
        <v/>
      </c>
      <c r="C66" s="230" t="str">
        <f t="shared" si="11"/>
        <v>2A</v>
      </c>
      <c r="D66" s="230"/>
      <c r="E66" s="230" t="str">
        <f t="shared" si="12"/>
        <v/>
      </c>
      <c r="F66" s="231" t="str">
        <f t="shared" si="12"/>
        <v/>
      </c>
      <c r="H66" s="168"/>
      <c r="J66" s="177" t="s">
        <v>191</v>
      </c>
      <c r="K66" s="178"/>
      <c r="L66" s="179"/>
    </row>
    <row r="67" spans="1:12" x14ac:dyDescent="0.25">
      <c r="A67" s="230" t="str">
        <f t="shared" si="11"/>
        <v>15</v>
      </c>
      <c r="B67" s="230" t="str">
        <f t="shared" si="11"/>
        <v/>
      </c>
      <c r="C67" s="230" t="str">
        <f t="shared" si="11"/>
        <v>1C</v>
      </c>
      <c r="D67" s="230"/>
      <c r="E67" s="230" t="str">
        <f t="shared" si="12"/>
        <v/>
      </c>
      <c r="F67" s="231" t="str">
        <f t="shared" si="12"/>
        <v/>
      </c>
      <c r="H67" s="168"/>
      <c r="J67" s="180" t="s">
        <v>159</v>
      </c>
      <c r="K67" s="181">
        <v>21</v>
      </c>
      <c r="L67" s="182">
        <v>21</v>
      </c>
    </row>
    <row r="68" spans="1:12" x14ac:dyDescent="0.25">
      <c r="A68" s="230" t="str">
        <f t="shared" si="11"/>
        <v>16</v>
      </c>
      <c r="B68" s="230" t="str">
        <f t="shared" si="11"/>
        <v/>
      </c>
      <c r="C68" s="230" t="str">
        <f t="shared" si="11"/>
        <v>2C</v>
      </c>
      <c r="D68" s="230"/>
      <c r="E68" s="230" t="str">
        <f t="shared" si="12"/>
        <v/>
      </c>
      <c r="F68" s="231" t="str">
        <f t="shared" si="12"/>
        <v/>
      </c>
      <c r="H68" s="168"/>
      <c r="J68"/>
      <c r="K68"/>
    </row>
    <row r="69" spans="1:12" x14ac:dyDescent="0.25">
      <c r="A69" s="230" t="str">
        <f t="shared" si="11"/>
        <v>17</v>
      </c>
      <c r="B69" s="230" t="str">
        <f t="shared" si="11"/>
        <v/>
      </c>
      <c r="C69" s="230" t="str">
        <f t="shared" si="11"/>
        <v>2B</v>
      </c>
      <c r="D69" s="230"/>
      <c r="E69" s="230" t="str">
        <f t="shared" si="12"/>
        <v/>
      </c>
      <c r="F69" s="231" t="str">
        <f t="shared" si="12"/>
        <v/>
      </c>
      <c r="H69" s="168"/>
      <c r="J69" s="271" t="s">
        <v>162</v>
      </c>
      <c r="K69" s="272"/>
      <c r="L69" s="272"/>
    </row>
    <row r="70" spans="1:12" x14ac:dyDescent="0.25">
      <c r="A70" s="230" t="str">
        <f t="shared" si="11"/>
        <v>18</v>
      </c>
      <c r="B70" s="230" t="str">
        <f t="shared" si="11"/>
        <v/>
      </c>
      <c r="C70" s="230" t="str">
        <f t="shared" si="11"/>
        <v>1B</v>
      </c>
      <c r="D70" s="230"/>
      <c r="E70" s="230" t="str">
        <f t="shared" si="12"/>
        <v/>
      </c>
      <c r="F70" s="231" t="str">
        <f t="shared" si="12"/>
        <v/>
      </c>
      <c r="H70" s="168"/>
      <c r="J70"/>
      <c r="K70"/>
    </row>
    <row r="71" spans="1:12" x14ac:dyDescent="0.25">
      <c r="A71" s="230" t="str">
        <f t="shared" si="11"/>
        <v>19</v>
      </c>
      <c r="B71" s="230" t="str">
        <f t="shared" si="11"/>
        <v/>
      </c>
      <c r="C71" s="230" t="str">
        <f t="shared" si="11"/>
        <v>2D</v>
      </c>
      <c r="D71" s="230"/>
      <c r="E71" s="230" t="str">
        <f t="shared" si="12"/>
        <v/>
      </c>
      <c r="F71" s="231" t="str">
        <f t="shared" si="12"/>
        <v/>
      </c>
      <c r="H71" s="168"/>
      <c r="J71" s="172"/>
      <c r="K71" s="184" t="s">
        <v>156</v>
      </c>
      <c r="L71" s="173"/>
    </row>
    <row r="72" spans="1:12" x14ac:dyDescent="0.25">
      <c r="A72" s="230" t="str">
        <f t="shared" si="11"/>
        <v>20</v>
      </c>
      <c r="B72" s="230" t="str">
        <f t="shared" si="11"/>
        <v/>
      </c>
      <c r="C72" s="230" t="str">
        <f t="shared" si="11"/>
        <v>1D</v>
      </c>
      <c r="D72" s="230"/>
      <c r="E72" s="230" t="str">
        <f t="shared" si="12"/>
        <v/>
      </c>
      <c r="F72" s="231" t="str">
        <f t="shared" si="12"/>
        <v/>
      </c>
      <c r="H72" s="168"/>
      <c r="J72" s="184" t="s">
        <v>152</v>
      </c>
      <c r="K72" s="172" t="s">
        <v>157</v>
      </c>
      <c r="L72" s="174" t="s">
        <v>158</v>
      </c>
    </row>
    <row r="73" spans="1:12" x14ac:dyDescent="0.25">
      <c r="A73" s="230" t="str">
        <f t="shared" si="11"/>
        <v>21</v>
      </c>
      <c r="B73" s="230" t="str">
        <f t="shared" si="11"/>
        <v/>
      </c>
      <c r="C73" s="230" t="str">
        <f t="shared" si="11"/>
        <v>3C</v>
      </c>
      <c r="D73" s="230"/>
      <c r="E73" s="230" t="str">
        <f t="shared" si="12"/>
        <v/>
      </c>
      <c r="F73" s="231" t="str">
        <f t="shared" si="12"/>
        <v/>
      </c>
      <c r="H73" s="168"/>
      <c r="J73" s="172" t="s">
        <v>21</v>
      </c>
      <c r="K73" s="175">
        <v>2</v>
      </c>
      <c r="L73" s="176">
        <v>12</v>
      </c>
    </row>
    <row r="74" spans="1:12" x14ac:dyDescent="0.25">
      <c r="A74" s="230" t="str">
        <f t="shared" si="11"/>
        <v>22</v>
      </c>
      <c r="B74" s="230" t="str">
        <f t="shared" si="11"/>
        <v/>
      </c>
      <c r="C74" s="230" t="str">
        <f t="shared" si="11"/>
        <v>3A</v>
      </c>
      <c r="D74" s="230"/>
      <c r="E74" s="230" t="str">
        <f t="shared" si="12"/>
        <v/>
      </c>
      <c r="F74" s="231" t="str">
        <f t="shared" si="12"/>
        <v/>
      </c>
      <c r="H74" s="168"/>
      <c r="J74" s="177" t="s">
        <v>22</v>
      </c>
      <c r="K74" s="178">
        <v>2</v>
      </c>
      <c r="L74" s="179">
        <v>13</v>
      </c>
    </row>
    <row r="75" spans="1:12" x14ac:dyDescent="0.25">
      <c r="A75" s="230" t="str">
        <f t="shared" ref="A75:A84" si="13">A14</f>
        <v>13</v>
      </c>
      <c r="B75" s="230" t="str">
        <f t="shared" ref="B75:B84" si="14">I14</f>
        <v/>
      </c>
      <c r="C75" s="230" t="str">
        <f t="shared" ref="C75:C84" si="15">H14</f>
        <v>1B</v>
      </c>
      <c r="D75" s="230"/>
      <c r="E75" s="230" t="str">
        <f t="shared" ref="E75:E84" si="16">F14</f>
        <v/>
      </c>
      <c r="F75" s="231" t="str">
        <f t="shared" ref="F75:F84" si="17">E14</f>
        <v/>
      </c>
      <c r="H75" s="168"/>
      <c r="J75" s="177" t="s">
        <v>26</v>
      </c>
      <c r="K75" s="178">
        <v>14</v>
      </c>
      <c r="L75" s="179">
        <v>3</v>
      </c>
    </row>
    <row r="76" spans="1:12" x14ac:dyDescent="0.25">
      <c r="A76" s="230" t="str">
        <f t="shared" si="13"/>
        <v>14</v>
      </c>
      <c r="B76" s="230" t="str">
        <f t="shared" si="14"/>
        <v/>
      </c>
      <c r="C76" s="230" t="str">
        <f t="shared" si="15"/>
        <v>2B</v>
      </c>
      <c r="D76" s="230"/>
      <c r="E76" s="230" t="str">
        <f t="shared" si="16"/>
        <v/>
      </c>
      <c r="F76" s="231" t="str">
        <f t="shared" si="17"/>
        <v/>
      </c>
      <c r="H76" s="168"/>
      <c r="J76" s="177" t="s">
        <v>25</v>
      </c>
      <c r="K76" s="178">
        <v>11</v>
      </c>
      <c r="L76" s="179">
        <v>1</v>
      </c>
    </row>
    <row r="77" spans="1:12" x14ac:dyDescent="0.25">
      <c r="A77" s="230" t="str">
        <f t="shared" si="13"/>
        <v>15</v>
      </c>
      <c r="B77" s="230" t="str">
        <f t="shared" si="14"/>
        <v/>
      </c>
      <c r="C77" s="230" t="str">
        <f t="shared" si="15"/>
        <v>1D</v>
      </c>
      <c r="D77" s="230"/>
      <c r="E77" s="230" t="str">
        <f t="shared" si="16"/>
        <v/>
      </c>
      <c r="F77" s="231" t="str">
        <f t="shared" si="17"/>
        <v/>
      </c>
      <c r="H77" s="168"/>
      <c r="J77" s="177" t="s">
        <v>191</v>
      </c>
      <c r="K77" s="178"/>
      <c r="L77" s="179"/>
    </row>
    <row r="78" spans="1:12" x14ac:dyDescent="0.25">
      <c r="A78" s="230" t="str">
        <f t="shared" si="13"/>
        <v>16</v>
      </c>
      <c r="B78" s="230" t="str">
        <f t="shared" si="14"/>
        <v/>
      </c>
      <c r="C78" s="230" t="str">
        <f t="shared" si="15"/>
        <v>2D</v>
      </c>
      <c r="D78" s="230"/>
      <c r="E78" s="230" t="str">
        <f t="shared" si="16"/>
        <v/>
      </c>
      <c r="F78" s="231" t="str">
        <f t="shared" si="17"/>
        <v/>
      </c>
      <c r="H78" s="168"/>
      <c r="J78" s="180" t="s">
        <v>159</v>
      </c>
      <c r="K78" s="181">
        <v>29</v>
      </c>
      <c r="L78" s="182">
        <v>29</v>
      </c>
    </row>
    <row r="79" spans="1:12" x14ac:dyDescent="0.25">
      <c r="A79" s="230" t="str">
        <f t="shared" si="13"/>
        <v>17</v>
      </c>
      <c r="B79" s="230" t="str">
        <f t="shared" si="14"/>
        <v/>
      </c>
      <c r="C79" s="230" t="str">
        <f t="shared" si="15"/>
        <v>1A</v>
      </c>
      <c r="D79" s="230"/>
      <c r="E79" s="230" t="str">
        <f t="shared" si="16"/>
        <v/>
      </c>
      <c r="F79" s="231" t="str">
        <f t="shared" si="17"/>
        <v/>
      </c>
      <c r="J79" s="271" t="s">
        <v>163</v>
      </c>
      <c r="K79" s="272"/>
      <c r="L79" s="272"/>
    </row>
    <row r="80" spans="1:12" x14ac:dyDescent="0.25">
      <c r="A80" s="230" t="str">
        <f t="shared" si="13"/>
        <v>18</v>
      </c>
      <c r="B80" s="230" t="str">
        <f t="shared" si="14"/>
        <v/>
      </c>
      <c r="C80" s="230" t="str">
        <f t="shared" si="15"/>
        <v>2A</v>
      </c>
      <c r="D80" s="230"/>
      <c r="E80" s="230" t="str">
        <f t="shared" si="16"/>
        <v/>
      </c>
      <c r="F80" s="231" t="str">
        <f t="shared" si="17"/>
        <v/>
      </c>
      <c r="J80"/>
      <c r="K80"/>
    </row>
    <row r="81" spans="1:12" x14ac:dyDescent="0.25">
      <c r="A81" s="230" t="str">
        <f t="shared" si="13"/>
        <v>19</v>
      </c>
      <c r="B81" s="230" t="str">
        <f t="shared" si="14"/>
        <v/>
      </c>
      <c r="C81" s="230" t="str">
        <f t="shared" si="15"/>
        <v>1C</v>
      </c>
      <c r="D81" s="230"/>
      <c r="E81" s="230" t="str">
        <f t="shared" si="16"/>
        <v/>
      </c>
      <c r="F81" s="231" t="str">
        <f t="shared" si="17"/>
        <v/>
      </c>
      <c r="J81" s="172"/>
      <c r="K81" s="184" t="s">
        <v>156</v>
      </c>
      <c r="L81" s="173"/>
    </row>
    <row r="82" spans="1:12" x14ac:dyDescent="0.25">
      <c r="A82" s="230" t="str">
        <f t="shared" si="13"/>
        <v>20</v>
      </c>
      <c r="B82" s="230" t="str">
        <f t="shared" si="14"/>
        <v/>
      </c>
      <c r="C82" s="230" t="str">
        <f t="shared" si="15"/>
        <v>2C</v>
      </c>
      <c r="D82" s="230"/>
      <c r="E82" s="230" t="str">
        <f t="shared" si="16"/>
        <v/>
      </c>
      <c r="F82" s="231" t="str">
        <f t="shared" si="17"/>
        <v/>
      </c>
      <c r="J82" s="184" t="s">
        <v>152</v>
      </c>
      <c r="K82" s="172" t="s">
        <v>157</v>
      </c>
      <c r="L82" s="174" t="s">
        <v>158</v>
      </c>
    </row>
    <row r="83" spans="1:12" s="168" customFormat="1" x14ac:dyDescent="0.25">
      <c r="A83" s="230" t="str">
        <f t="shared" si="13"/>
        <v>21</v>
      </c>
      <c r="B83" s="230" t="str">
        <f t="shared" si="14"/>
        <v/>
      </c>
      <c r="C83" s="230" t="str">
        <f t="shared" si="15"/>
        <v>3D</v>
      </c>
      <c r="D83" s="230"/>
      <c r="E83" s="230" t="str">
        <f t="shared" si="16"/>
        <v/>
      </c>
      <c r="F83" s="231" t="str">
        <f t="shared" si="17"/>
        <v/>
      </c>
      <c r="H83"/>
      <c r="I83"/>
      <c r="J83" s="172" t="s">
        <v>27</v>
      </c>
      <c r="K83" s="175">
        <v>16</v>
      </c>
      <c r="L83" s="176">
        <v>0</v>
      </c>
    </row>
    <row r="84" spans="1:12" s="168" customFormat="1" x14ac:dyDescent="0.25">
      <c r="A84" s="230" t="str">
        <f t="shared" si="13"/>
        <v>22</v>
      </c>
      <c r="B84" s="230" t="str">
        <f t="shared" si="14"/>
        <v/>
      </c>
      <c r="C84" s="230" t="str">
        <f t="shared" si="15"/>
        <v>3B</v>
      </c>
      <c r="D84" s="230"/>
      <c r="E84" s="230" t="str">
        <f t="shared" si="16"/>
        <v/>
      </c>
      <c r="F84" s="231" t="str">
        <f t="shared" si="17"/>
        <v/>
      </c>
      <c r="H84"/>
      <c r="I84"/>
      <c r="J84" s="177" t="s">
        <v>33</v>
      </c>
      <c r="K84" s="178">
        <v>0</v>
      </c>
      <c r="L84" s="179">
        <v>16</v>
      </c>
    </row>
    <row r="85" spans="1:12" s="168" customFormat="1" x14ac:dyDescent="0.25">
      <c r="H85"/>
      <c r="I85"/>
      <c r="J85" s="177" t="s">
        <v>28</v>
      </c>
      <c r="K85" s="178">
        <v>0</v>
      </c>
      <c r="L85" s="179">
        <v>0</v>
      </c>
    </row>
    <row r="86" spans="1:12" s="168" customFormat="1" x14ac:dyDescent="0.25">
      <c r="A86">
        <f t="shared" ref="A86:C93" si="18">A27</f>
        <v>23</v>
      </c>
      <c r="B86" t="str">
        <f t="shared" si="18"/>
        <v/>
      </c>
      <c r="C86" t="str">
        <f t="shared" si="18"/>
        <v>2X</v>
      </c>
      <c r="D86"/>
      <c r="E86" t="str">
        <f t="shared" ref="E86:F93" si="19">E27</f>
        <v/>
      </c>
      <c r="F86" s="168" t="str">
        <f t="shared" si="19"/>
        <v/>
      </c>
      <c r="H86"/>
      <c r="I86"/>
      <c r="J86" s="177" t="s">
        <v>191</v>
      </c>
      <c r="K86" s="178"/>
      <c r="L86" s="179"/>
    </row>
    <row r="87" spans="1:12" s="168" customFormat="1" x14ac:dyDescent="0.25">
      <c r="A87">
        <f t="shared" si="18"/>
        <v>24</v>
      </c>
      <c r="B87" t="str">
        <f t="shared" si="18"/>
        <v/>
      </c>
      <c r="C87" t="str">
        <f t="shared" si="18"/>
        <v>3X</v>
      </c>
      <c r="D87"/>
      <c r="E87" t="str">
        <f t="shared" si="19"/>
        <v/>
      </c>
      <c r="F87" s="168" t="str">
        <f t="shared" si="19"/>
        <v/>
      </c>
      <c r="H87"/>
      <c r="I87"/>
      <c r="J87" s="180" t="s">
        <v>159</v>
      </c>
      <c r="K87" s="181">
        <v>16</v>
      </c>
      <c r="L87" s="182">
        <v>16</v>
      </c>
    </row>
    <row r="88" spans="1:12" s="168" customFormat="1" x14ac:dyDescent="0.25">
      <c r="A88">
        <f t="shared" si="18"/>
        <v>25</v>
      </c>
      <c r="B88" t="str">
        <f t="shared" si="18"/>
        <v/>
      </c>
      <c r="C88" t="str">
        <f t="shared" si="18"/>
        <v>4X</v>
      </c>
      <c r="D88"/>
      <c r="E88" t="str">
        <f t="shared" si="19"/>
        <v/>
      </c>
      <c r="F88" s="168" t="str">
        <f t="shared" si="19"/>
        <v/>
      </c>
      <c r="H88"/>
      <c r="I88"/>
      <c r="J88" s="183"/>
      <c r="K88" s="183"/>
      <c r="L88"/>
    </row>
    <row r="89" spans="1:12" s="168" customFormat="1" x14ac:dyDescent="0.25">
      <c r="A89">
        <f t="shared" si="18"/>
        <v>26</v>
      </c>
      <c r="B89" t="str">
        <f t="shared" si="18"/>
        <v/>
      </c>
      <c r="C89" t="str">
        <f t="shared" si="18"/>
        <v>4Y</v>
      </c>
      <c r="D89"/>
      <c r="E89" t="str">
        <f t="shared" si="19"/>
        <v/>
      </c>
      <c r="F89" s="168" t="str">
        <f t="shared" si="19"/>
        <v/>
      </c>
      <c r="H89"/>
      <c r="I89"/>
      <c r="J89" s="271" t="s">
        <v>164</v>
      </c>
      <c r="K89" s="272"/>
      <c r="L89" s="272"/>
    </row>
    <row r="90" spans="1:12" s="168" customFormat="1" x14ac:dyDescent="0.25">
      <c r="A90">
        <f t="shared" si="18"/>
        <v>27</v>
      </c>
      <c r="B90" t="str">
        <f t="shared" si="18"/>
        <v/>
      </c>
      <c r="C90" t="str">
        <f t="shared" si="18"/>
        <v>3Y</v>
      </c>
      <c r="D90"/>
      <c r="E90" t="str">
        <f t="shared" si="19"/>
        <v/>
      </c>
      <c r="F90" s="168" t="str">
        <f t="shared" si="19"/>
        <v/>
      </c>
      <c r="H90"/>
      <c r="I90"/>
      <c r="J90"/>
      <c r="K90"/>
      <c r="L90"/>
    </row>
    <row r="91" spans="1:12" s="168" customFormat="1" x14ac:dyDescent="0.25">
      <c r="A91">
        <f t="shared" si="18"/>
        <v>28</v>
      </c>
      <c r="B91" t="str">
        <f t="shared" si="18"/>
        <v/>
      </c>
      <c r="C91" t="str">
        <f t="shared" si="18"/>
        <v>2Y</v>
      </c>
      <c r="D91"/>
      <c r="E91" t="str">
        <f t="shared" si="19"/>
        <v/>
      </c>
      <c r="F91" s="168" t="str">
        <f t="shared" si="19"/>
        <v/>
      </c>
      <c r="H91"/>
      <c r="I91"/>
      <c r="J91" s="172"/>
      <c r="K91" s="184" t="s">
        <v>156</v>
      </c>
      <c r="L91" s="173"/>
    </row>
    <row r="92" spans="1:12" x14ac:dyDescent="0.25">
      <c r="A92">
        <f t="shared" si="18"/>
        <v>29</v>
      </c>
      <c r="B92" t="str">
        <f t="shared" si="18"/>
        <v/>
      </c>
      <c r="C92" t="str">
        <f t="shared" si="18"/>
        <v>3D</v>
      </c>
      <c r="E92" t="str">
        <f t="shared" si="19"/>
        <v/>
      </c>
      <c r="F92" s="168" t="str">
        <f t="shared" si="19"/>
        <v/>
      </c>
      <c r="J92" s="184" t="s">
        <v>152</v>
      </c>
      <c r="K92" s="172" t="s">
        <v>157</v>
      </c>
      <c r="L92" s="174" t="s">
        <v>158</v>
      </c>
    </row>
    <row r="93" spans="1:12" x14ac:dyDescent="0.25">
      <c r="A93">
        <f t="shared" si="18"/>
        <v>30</v>
      </c>
      <c r="B93" t="str">
        <f t="shared" si="18"/>
        <v/>
      </c>
      <c r="C93" t="str">
        <f t="shared" si="18"/>
        <v>3B</v>
      </c>
      <c r="E93" t="str">
        <f t="shared" si="19"/>
        <v/>
      </c>
      <c r="F93" s="168" t="str">
        <f t="shared" si="19"/>
        <v/>
      </c>
      <c r="J93" s="172" t="s">
        <v>29</v>
      </c>
      <c r="K93" s="175">
        <v>21</v>
      </c>
      <c r="L93" s="176">
        <v>3</v>
      </c>
    </row>
    <row r="94" spans="1:12" x14ac:dyDescent="0.25">
      <c r="A94">
        <f t="shared" ref="A94:A101" si="20">A27</f>
        <v>23</v>
      </c>
      <c r="B94" t="str">
        <f t="shared" ref="B94:B101" si="21">I27</f>
        <v/>
      </c>
      <c r="C94" t="str">
        <f t="shared" ref="C94:C101" si="22">H27</f>
        <v>2Y</v>
      </c>
      <c r="E94" t="str">
        <f t="shared" ref="E94:E101" si="23">F27</f>
        <v/>
      </c>
      <c r="F94" s="168" t="str">
        <f t="shared" ref="F94:F101" si="24">E27</f>
        <v/>
      </c>
      <c r="J94" s="177" t="s">
        <v>30</v>
      </c>
      <c r="K94" s="178">
        <v>14</v>
      </c>
      <c r="L94" s="179">
        <v>10</v>
      </c>
    </row>
    <row r="95" spans="1:12" x14ac:dyDescent="0.25">
      <c r="A95">
        <f t="shared" si="20"/>
        <v>24</v>
      </c>
      <c r="B95" t="str">
        <f t="shared" si="21"/>
        <v/>
      </c>
      <c r="C95" t="str">
        <f t="shared" si="22"/>
        <v>3Y</v>
      </c>
      <c r="E95" t="str">
        <f t="shared" si="23"/>
        <v/>
      </c>
      <c r="F95" s="168" t="str">
        <f t="shared" si="24"/>
        <v/>
      </c>
      <c r="J95" s="177" t="s">
        <v>34</v>
      </c>
      <c r="K95" s="178">
        <v>1</v>
      </c>
      <c r="L95" s="179">
        <v>23</v>
      </c>
    </row>
    <row r="96" spans="1:12" x14ac:dyDescent="0.25">
      <c r="A96">
        <f t="shared" si="20"/>
        <v>25</v>
      </c>
      <c r="B96" t="str">
        <f t="shared" si="21"/>
        <v/>
      </c>
      <c r="C96" t="str">
        <f t="shared" si="22"/>
        <v>3C</v>
      </c>
      <c r="E96" t="str">
        <f t="shared" si="23"/>
        <v/>
      </c>
      <c r="F96" s="168" t="str">
        <f t="shared" si="24"/>
        <v/>
      </c>
      <c r="J96" s="177" t="s">
        <v>191</v>
      </c>
      <c r="K96" s="178"/>
      <c r="L96" s="179"/>
    </row>
    <row r="97" spans="1:12" x14ac:dyDescent="0.25">
      <c r="A97">
        <f t="shared" si="20"/>
        <v>26</v>
      </c>
      <c r="B97" t="str">
        <f t="shared" si="21"/>
        <v/>
      </c>
      <c r="C97" t="str">
        <f t="shared" si="22"/>
        <v>3A</v>
      </c>
      <c r="E97" t="str">
        <f t="shared" si="23"/>
        <v/>
      </c>
      <c r="F97" s="168" t="str">
        <f t="shared" si="24"/>
        <v/>
      </c>
      <c r="J97" s="180" t="s">
        <v>159</v>
      </c>
      <c r="K97" s="181">
        <v>36</v>
      </c>
      <c r="L97" s="182">
        <v>36</v>
      </c>
    </row>
    <row r="98" spans="1:12" x14ac:dyDescent="0.25">
      <c r="A98">
        <f t="shared" si="20"/>
        <v>27</v>
      </c>
      <c r="B98" t="str">
        <f t="shared" si="21"/>
        <v/>
      </c>
      <c r="C98" t="str">
        <f t="shared" si="22"/>
        <v>2X</v>
      </c>
      <c r="E98" t="str">
        <f t="shared" si="23"/>
        <v/>
      </c>
      <c r="F98" s="168" t="str">
        <f t="shared" si="24"/>
        <v/>
      </c>
    </row>
    <row r="99" spans="1:12" x14ac:dyDescent="0.25">
      <c r="A99">
        <f t="shared" si="20"/>
        <v>28</v>
      </c>
      <c r="B99" t="str">
        <f t="shared" si="21"/>
        <v/>
      </c>
      <c r="C99" t="str">
        <f t="shared" si="22"/>
        <v>3X</v>
      </c>
      <c r="E99" t="str">
        <f t="shared" si="23"/>
        <v/>
      </c>
      <c r="F99" s="168" t="str">
        <f t="shared" si="24"/>
        <v/>
      </c>
    </row>
    <row r="100" spans="1:12" x14ac:dyDescent="0.25">
      <c r="A100">
        <f t="shared" si="20"/>
        <v>29</v>
      </c>
      <c r="B100" t="str">
        <f t="shared" si="21"/>
        <v/>
      </c>
      <c r="C100" t="str">
        <f t="shared" si="22"/>
        <v>4X</v>
      </c>
      <c r="E100" t="str">
        <f t="shared" si="23"/>
        <v/>
      </c>
      <c r="F100" s="168" t="str">
        <f t="shared" si="24"/>
        <v/>
      </c>
      <c r="J100" s="271" t="s">
        <v>165</v>
      </c>
      <c r="K100" s="272"/>
      <c r="L100" s="272"/>
    </row>
    <row r="101" spans="1:12" x14ac:dyDescent="0.25">
      <c r="A101">
        <f t="shared" si="20"/>
        <v>30</v>
      </c>
      <c r="B101" t="str">
        <f t="shared" si="21"/>
        <v/>
      </c>
      <c r="C101" t="str">
        <f t="shared" si="22"/>
        <v>4Y</v>
      </c>
      <c r="E101" t="str">
        <f t="shared" si="23"/>
        <v/>
      </c>
      <c r="F101" s="168" t="str">
        <f t="shared" si="24"/>
        <v/>
      </c>
      <c r="J101"/>
      <c r="K101"/>
    </row>
    <row r="102" spans="1:12" x14ac:dyDescent="0.25">
      <c r="J102" s="172"/>
      <c r="K102" s="184" t="s">
        <v>156</v>
      </c>
      <c r="L102" s="173"/>
    </row>
    <row r="103" spans="1:12" x14ac:dyDescent="0.25">
      <c r="J103" s="184" t="s">
        <v>152</v>
      </c>
      <c r="K103" s="172" t="s">
        <v>157</v>
      </c>
      <c r="L103" s="174" t="s">
        <v>158</v>
      </c>
    </row>
    <row r="104" spans="1:12" x14ac:dyDescent="0.25">
      <c r="J104" s="172" t="s">
        <v>31</v>
      </c>
      <c r="K104" s="175">
        <v>14</v>
      </c>
      <c r="L104" s="176">
        <v>4</v>
      </c>
    </row>
    <row r="105" spans="1:12" x14ac:dyDescent="0.25">
      <c r="J105" s="177" t="s">
        <v>32</v>
      </c>
      <c r="K105" s="178">
        <v>7</v>
      </c>
      <c r="L105" s="179">
        <v>3</v>
      </c>
    </row>
    <row r="106" spans="1:12" x14ac:dyDescent="0.25">
      <c r="J106" s="177" t="s">
        <v>36</v>
      </c>
      <c r="K106" s="178">
        <v>4</v>
      </c>
      <c r="L106" s="179">
        <v>8</v>
      </c>
    </row>
    <row r="107" spans="1:12" x14ac:dyDescent="0.25">
      <c r="J107" s="177" t="s">
        <v>35</v>
      </c>
      <c r="K107" s="178">
        <v>3</v>
      </c>
      <c r="L107" s="179">
        <v>13</v>
      </c>
    </row>
    <row r="108" spans="1:12" x14ac:dyDescent="0.25">
      <c r="J108" s="177" t="s">
        <v>191</v>
      </c>
      <c r="K108" s="178"/>
      <c r="L108" s="179"/>
    </row>
    <row r="109" spans="1:12" x14ac:dyDescent="0.25">
      <c r="J109" s="180" t="s">
        <v>159</v>
      </c>
      <c r="K109" s="181">
        <v>28</v>
      </c>
      <c r="L109" s="182">
        <v>28</v>
      </c>
    </row>
  </sheetData>
  <mergeCells count="6">
    <mergeCell ref="J100:L100"/>
    <mergeCell ref="J39:L39"/>
    <mergeCell ref="J58:L58"/>
    <mergeCell ref="J69:L69"/>
    <mergeCell ref="J79:L79"/>
    <mergeCell ref="J89:L8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A26"/>
  <sheetViews>
    <sheetView workbookViewId="0">
      <selection activeCell="C18" sqref="C18"/>
    </sheetView>
  </sheetViews>
  <sheetFormatPr baseColWidth="10" defaultColWidth="11.44140625" defaultRowHeight="13.2" x14ac:dyDescent="0.25"/>
  <cols>
    <col min="1" max="1" width="17.109375" style="84" customWidth="1"/>
    <col min="2" max="2" width="19.88671875" style="84" customWidth="1"/>
    <col min="3" max="4" width="17.88671875" style="84" customWidth="1"/>
    <col min="5" max="5" width="2.6640625" style="84" customWidth="1"/>
    <col min="6" max="7" width="12.6640625" style="84" customWidth="1"/>
    <col min="8" max="25" width="0" style="84" hidden="1" customWidth="1"/>
    <col min="26" max="26" width="4.88671875" style="122" customWidth="1"/>
    <col min="27" max="27" width="7.33203125" style="84" customWidth="1"/>
    <col min="28" max="16384" width="11.44140625" style="84"/>
  </cols>
  <sheetData>
    <row r="1" spans="1:27" x14ac:dyDescent="0.25">
      <c r="A1" s="119" t="s">
        <v>126</v>
      </c>
      <c r="B1" s="119" t="s">
        <v>127</v>
      </c>
      <c r="C1" s="119" t="s">
        <v>128</v>
      </c>
      <c r="D1" s="119" t="s">
        <v>129</v>
      </c>
      <c r="F1" s="120" t="s">
        <v>130</v>
      </c>
      <c r="G1" s="120" t="s">
        <v>131</v>
      </c>
      <c r="I1" s="121"/>
      <c r="AA1" s="123" t="s">
        <v>132</v>
      </c>
    </row>
    <row r="2" spans="1:27" x14ac:dyDescent="0.25">
      <c r="A2" s="129"/>
      <c r="B2" s="130"/>
      <c r="C2" s="130"/>
      <c r="D2" s="130" t="str">
        <f t="shared" ref="D2:D9" si="0">CONCATENATE(LEFT(C2,1),". ",B2)</f>
        <v xml:space="preserve">. </v>
      </c>
      <c r="F2" s="126">
        <f>COUNTIF(grille!M$7:M$53,$D2)</f>
        <v>0</v>
      </c>
      <c r="G2" s="126">
        <f>COUNTIF(grille!N$7:O$53,$D2)</f>
        <v>0</v>
      </c>
      <c r="AA2" s="84">
        <v>0</v>
      </c>
    </row>
    <row r="3" spans="1:27" x14ac:dyDescent="0.25">
      <c r="A3" s="124"/>
      <c r="B3" s="125"/>
      <c r="C3" s="125"/>
      <c r="D3" s="125" t="str">
        <f t="shared" si="0"/>
        <v xml:space="preserve">. </v>
      </c>
      <c r="F3" s="126">
        <f>COUNTIF(grille!M$7:M$53,$D3)</f>
        <v>0</v>
      </c>
      <c r="G3" s="126">
        <f>COUNTIF(grille!N$7:O$53,$D3)</f>
        <v>0</v>
      </c>
      <c r="AA3" s="84">
        <v>1</v>
      </c>
    </row>
    <row r="4" spans="1:27" x14ac:dyDescent="0.25">
      <c r="A4" s="127"/>
      <c r="B4" s="128"/>
      <c r="C4" s="128"/>
      <c r="D4" s="128" t="str">
        <f t="shared" si="0"/>
        <v xml:space="preserve">. </v>
      </c>
      <c r="F4" s="126">
        <f>COUNTIF(grille!M$7:M$53,$D4)</f>
        <v>0</v>
      </c>
      <c r="G4" s="126">
        <f>COUNTIF(grille!N$7:O$53,$D4)</f>
        <v>0</v>
      </c>
      <c r="I4" s="121"/>
      <c r="AA4" s="84">
        <v>1</v>
      </c>
    </row>
    <row r="5" spans="1:27" x14ac:dyDescent="0.25">
      <c r="A5" s="124"/>
      <c r="B5" s="125"/>
      <c r="C5" s="125"/>
      <c r="D5" s="125" t="str">
        <f t="shared" si="0"/>
        <v xml:space="preserve">. </v>
      </c>
      <c r="F5" s="126">
        <f>COUNTIF(grille!M$7:M$53,$D5)</f>
        <v>0</v>
      </c>
      <c r="G5" s="126">
        <f>COUNTIF(grille!N$7:O$53,$D5)</f>
        <v>0</v>
      </c>
      <c r="AA5" s="84">
        <v>1</v>
      </c>
    </row>
    <row r="6" spans="1:27" x14ac:dyDescent="0.25">
      <c r="A6" s="127"/>
      <c r="B6" s="128"/>
      <c r="C6" s="128"/>
      <c r="D6" s="128" t="str">
        <f t="shared" si="0"/>
        <v xml:space="preserve">. </v>
      </c>
      <c r="F6" s="126">
        <f>COUNTIF(grille!M$7:M$53,$D6)</f>
        <v>0</v>
      </c>
      <c r="G6" s="126">
        <f>COUNTIF(grille!N$7:O$53,$D6)</f>
        <v>0</v>
      </c>
      <c r="I6" s="121"/>
      <c r="AA6" s="84">
        <v>1</v>
      </c>
    </row>
    <row r="7" spans="1:27" x14ac:dyDescent="0.25">
      <c r="A7" s="127"/>
      <c r="B7" s="128"/>
      <c r="C7" s="128"/>
      <c r="D7" s="128" t="str">
        <f t="shared" si="0"/>
        <v xml:space="preserve">. </v>
      </c>
      <c r="F7" s="126">
        <f>COUNTIF(grille!M$7:M$53,$D7)</f>
        <v>0</v>
      </c>
      <c r="G7" s="126">
        <f>COUNTIF(grille!N$7:O$53,$D7)</f>
        <v>0</v>
      </c>
      <c r="AA7" s="84">
        <v>1</v>
      </c>
    </row>
    <row r="8" spans="1:27" x14ac:dyDescent="0.25">
      <c r="A8" s="124"/>
      <c r="B8" s="125"/>
      <c r="C8" s="125"/>
      <c r="D8" s="125" t="str">
        <f t="shared" si="0"/>
        <v xml:space="preserve">. </v>
      </c>
      <c r="F8" s="126">
        <f>COUNTIF(grille!M$7:M$53,$D8)</f>
        <v>0</v>
      </c>
      <c r="G8" s="126">
        <f>COUNTIF(grille!N$7:O$53,$D8)</f>
        <v>0</v>
      </c>
      <c r="AA8" s="84">
        <v>2</v>
      </c>
    </row>
    <row r="9" spans="1:27" x14ac:dyDescent="0.25">
      <c r="A9" s="124"/>
      <c r="B9" s="125"/>
      <c r="C9" s="125"/>
      <c r="D9" s="125" t="str">
        <f t="shared" si="0"/>
        <v xml:space="preserve">. </v>
      </c>
      <c r="F9" s="126">
        <f>COUNTIF(grille!M$7:M$53,$D9)</f>
        <v>0</v>
      </c>
      <c r="G9" s="126">
        <f>COUNTIF(grille!N$7:O$53,$D9)</f>
        <v>0</v>
      </c>
      <c r="AA9" s="84">
        <v>2</v>
      </c>
    </row>
    <row r="17" spans="1:9" ht="15.6" x14ac:dyDescent="0.3">
      <c r="A17" s="131"/>
    </row>
    <row r="18" spans="1:9" ht="15.6" x14ac:dyDescent="0.3">
      <c r="A18" s="131"/>
    </row>
    <row r="19" spans="1:9" ht="15.6" x14ac:dyDescent="0.3">
      <c r="A19" s="131"/>
    </row>
    <row r="25" spans="1:9" x14ac:dyDescent="0.25">
      <c r="I25" s="121"/>
    </row>
    <row r="26" spans="1:9" x14ac:dyDescent="0.25">
      <c r="I26" s="121"/>
    </row>
  </sheetData>
  <phoneticPr fontId="28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9:G38"/>
  <sheetViews>
    <sheetView topLeftCell="A31" workbookViewId="0">
      <selection activeCell="D47" sqref="D47"/>
    </sheetView>
  </sheetViews>
  <sheetFormatPr baseColWidth="10" defaultRowHeight="13.2" x14ac:dyDescent="0.25"/>
  <cols>
    <col min="1" max="1" width="14.6640625" customWidth="1"/>
    <col min="2" max="2" width="17.33203125" customWidth="1"/>
    <col min="3" max="3" width="15.88671875" customWidth="1"/>
    <col min="4" max="4" width="10.33203125" customWidth="1"/>
    <col min="5" max="5" width="21.44140625" customWidth="1"/>
    <col min="6" max="6" width="20.109375" customWidth="1"/>
    <col min="7" max="7" width="32.6640625" customWidth="1"/>
    <col min="8" max="8" width="18.109375" customWidth="1"/>
  </cols>
  <sheetData>
    <row r="9" spans="1:7" ht="17.399999999999999" x14ac:dyDescent="0.25">
      <c r="B9" s="104" t="s">
        <v>119</v>
      </c>
      <c r="C9" s="269" t="str">
        <f>saison</f>
        <v>2016 - 2017</v>
      </c>
      <c r="D9" s="270"/>
      <c r="E9" s="107"/>
      <c r="F9" s="104" t="s">
        <v>120</v>
      </c>
      <c r="G9" s="140" t="str">
        <f>lieu</f>
        <v xml:space="preserve">LAGNY </v>
      </c>
    </row>
    <row r="10" spans="1:7" ht="17.399999999999999" x14ac:dyDescent="0.25">
      <c r="B10" s="104" t="s">
        <v>122</v>
      </c>
      <c r="C10" s="269" t="str">
        <f>date</f>
        <v>6 et 7 mai 2017</v>
      </c>
      <c r="D10" s="270"/>
      <c r="E10" s="107"/>
    </row>
    <row r="11" spans="1:7" ht="15" x14ac:dyDescent="0.25">
      <c r="B11" s="99"/>
      <c r="C11" s="99"/>
      <c r="D11" s="99"/>
      <c r="E11" s="99"/>
    </row>
    <row r="12" spans="1:7" x14ac:dyDescent="0.25">
      <c r="B12" t="s">
        <v>134</v>
      </c>
      <c r="E12" s="101"/>
    </row>
    <row r="13" spans="1:7" x14ac:dyDescent="0.25">
      <c r="E13" s="101"/>
    </row>
    <row r="14" spans="1:7" s="10" customFormat="1" ht="18" customHeight="1" x14ac:dyDescent="0.25">
      <c r="A14" s="141" t="s">
        <v>140</v>
      </c>
      <c r="B14" s="141" t="s">
        <v>127</v>
      </c>
      <c r="C14" s="141" t="s">
        <v>135</v>
      </c>
      <c r="D14" s="141" t="s">
        <v>136</v>
      </c>
      <c r="E14" s="141" t="s">
        <v>137</v>
      </c>
      <c r="F14" s="141" t="s">
        <v>138</v>
      </c>
      <c r="G14" s="141" t="s">
        <v>139</v>
      </c>
    </row>
    <row r="15" spans="1:7" s="10" customFormat="1" ht="40.5" customHeight="1" x14ac:dyDescent="0.25">
      <c r="A15" s="142" t="s">
        <v>141</v>
      </c>
      <c r="B15" s="144"/>
      <c r="C15" s="144"/>
      <c r="D15" s="142"/>
      <c r="E15" s="142"/>
      <c r="F15" s="142"/>
      <c r="G15" s="142"/>
    </row>
    <row r="16" spans="1:7" s="10" customFormat="1" ht="40.5" customHeight="1" x14ac:dyDescent="0.25">
      <c r="A16" s="143" t="s">
        <v>142</v>
      </c>
      <c r="B16" s="144"/>
      <c r="C16" s="144"/>
      <c r="D16" s="142"/>
      <c r="E16" s="142"/>
      <c r="F16" s="142"/>
      <c r="G16" s="142"/>
    </row>
    <row r="17" spans="1:7" s="10" customFormat="1" ht="40.5" customHeight="1" x14ac:dyDescent="0.25">
      <c r="A17" s="142" t="s">
        <v>143</v>
      </c>
      <c r="B17" s="144"/>
      <c r="C17" s="144"/>
      <c r="D17" s="142"/>
      <c r="E17" s="142"/>
      <c r="F17" s="142"/>
      <c r="G17" s="142"/>
    </row>
    <row r="18" spans="1:7" s="10" customFormat="1" ht="40.5" customHeight="1" x14ac:dyDescent="0.25">
      <c r="A18" s="142" t="s">
        <v>143</v>
      </c>
      <c r="B18" s="144"/>
      <c r="C18" s="144"/>
      <c r="D18" s="142"/>
      <c r="E18" s="142"/>
      <c r="F18" s="142"/>
      <c r="G18" s="142"/>
    </row>
    <row r="19" spans="1:7" s="10" customFormat="1" ht="40.5" customHeight="1" x14ac:dyDescent="0.25">
      <c r="A19" s="142" t="s">
        <v>143</v>
      </c>
      <c r="B19" s="144"/>
      <c r="C19" s="144"/>
      <c r="D19" s="142"/>
      <c r="E19" s="142"/>
      <c r="F19" s="142"/>
      <c r="G19" s="142"/>
    </row>
    <row r="20" spans="1:7" s="10" customFormat="1" ht="40.5" customHeight="1" x14ac:dyDescent="0.25">
      <c r="A20" s="142" t="s">
        <v>143</v>
      </c>
      <c r="B20" s="144"/>
      <c r="C20" s="144"/>
      <c r="D20" s="142"/>
      <c r="E20" s="142"/>
      <c r="F20" s="142"/>
      <c r="G20" s="142"/>
    </row>
    <row r="21" spans="1:7" s="10" customFormat="1" ht="40.5" customHeight="1" x14ac:dyDescent="0.25">
      <c r="A21" s="142" t="s">
        <v>143</v>
      </c>
      <c r="B21" s="144"/>
      <c r="C21" s="144"/>
      <c r="D21" s="142"/>
      <c r="E21" s="142"/>
      <c r="F21" s="142"/>
      <c r="G21" s="142"/>
    </row>
    <row r="22" spans="1:7" s="10" customFormat="1" ht="40.5" customHeight="1" x14ac:dyDescent="0.25">
      <c r="A22" s="142" t="s">
        <v>143</v>
      </c>
      <c r="B22" s="144"/>
      <c r="C22" s="144"/>
      <c r="D22" s="142"/>
      <c r="E22" s="142"/>
      <c r="F22" s="142"/>
      <c r="G22" s="142"/>
    </row>
    <row r="23" spans="1:7" s="10" customFormat="1" ht="40.5" customHeight="1" x14ac:dyDescent="0.25">
      <c r="A23" s="142" t="s">
        <v>143</v>
      </c>
      <c r="B23" s="144"/>
      <c r="C23" s="144"/>
      <c r="D23" s="142"/>
      <c r="E23" s="142"/>
      <c r="F23" s="142"/>
      <c r="G23" s="142"/>
    </row>
    <row r="24" spans="1:7" s="10" customFormat="1" ht="40.5" customHeight="1" x14ac:dyDescent="0.25">
      <c r="A24" s="142" t="s">
        <v>143</v>
      </c>
      <c r="B24" s="144"/>
      <c r="C24" s="144"/>
      <c r="D24" s="142"/>
      <c r="E24" s="142"/>
      <c r="F24" s="142"/>
      <c r="G24" s="142"/>
    </row>
    <row r="25" spans="1:7" s="10" customFormat="1" ht="40.5" customHeight="1" x14ac:dyDescent="0.25">
      <c r="A25" s="142" t="s">
        <v>143</v>
      </c>
      <c r="B25" s="144"/>
      <c r="C25" s="144"/>
      <c r="D25" s="142"/>
      <c r="E25" s="142"/>
      <c r="F25" s="142"/>
      <c r="G25" s="142"/>
    </row>
    <row r="26" spans="1:7" s="10" customFormat="1" ht="40.5" customHeight="1" x14ac:dyDescent="0.25">
      <c r="A26" s="142" t="s">
        <v>143</v>
      </c>
      <c r="B26" s="144"/>
      <c r="C26" s="144"/>
      <c r="D26" s="142"/>
      <c r="E26" s="142"/>
      <c r="F26" s="142"/>
      <c r="G26" s="142"/>
    </row>
    <row r="27" spans="1:7" s="10" customFormat="1" ht="40.5" customHeight="1" x14ac:dyDescent="0.25">
      <c r="A27" s="142" t="s">
        <v>143</v>
      </c>
      <c r="B27" s="144"/>
      <c r="C27" s="144"/>
      <c r="D27" s="142"/>
      <c r="E27" s="142"/>
      <c r="F27" s="142"/>
      <c r="G27" s="142"/>
    </row>
    <row r="28" spans="1:7" s="10" customFormat="1" ht="40.5" customHeight="1" x14ac:dyDescent="0.25">
      <c r="A28" s="142" t="s">
        <v>143</v>
      </c>
      <c r="B28" s="144"/>
      <c r="C28" s="144"/>
      <c r="D28" s="142"/>
      <c r="E28" s="142"/>
      <c r="F28" s="142"/>
      <c r="G28" s="142"/>
    </row>
    <row r="29" spans="1:7" s="10" customFormat="1" ht="40.5" customHeight="1" x14ac:dyDescent="0.25">
      <c r="A29" s="143" t="s">
        <v>143</v>
      </c>
      <c r="B29" s="144"/>
      <c r="C29" s="144"/>
      <c r="D29" s="142"/>
      <c r="E29" s="142"/>
      <c r="F29" s="142"/>
      <c r="G29" s="142"/>
    </row>
    <row r="30" spans="1:7" s="10" customFormat="1" ht="40.5" customHeight="1" x14ac:dyDescent="0.25">
      <c r="A30" s="142" t="s">
        <v>143</v>
      </c>
      <c r="B30" s="144"/>
      <c r="C30" s="144"/>
      <c r="D30" s="142"/>
      <c r="E30" s="142"/>
      <c r="F30" s="142"/>
      <c r="G30" s="142"/>
    </row>
    <row r="31" spans="1:7" s="10" customFormat="1" ht="40.5" customHeight="1" x14ac:dyDescent="0.25">
      <c r="A31" s="142" t="s">
        <v>143</v>
      </c>
      <c r="B31" s="144"/>
      <c r="C31" s="144"/>
      <c r="D31" s="142"/>
      <c r="E31" s="142"/>
      <c r="F31" s="142"/>
      <c r="G31" s="142"/>
    </row>
    <row r="32" spans="1:7" s="10" customFormat="1" ht="40.5" customHeight="1" x14ac:dyDescent="0.25">
      <c r="A32" s="142" t="s">
        <v>143</v>
      </c>
      <c r="B32" s="144"/>
      <c r="C32" s="144"/>
      <c r="D32" s="142"/>
      <c r="E32" s="142"/>
      <c r="F32" s="142"/>
      <c r="G32" s="142"/>
    </row>
    <row r="33" spans="1:7" s="10" customFormat="1" ht="40.5" customHeight="1" x14ac:dyDescent="0.25">
      <c r="A33" s="142" t="s">
        <v>189</v>
      </c>
      <c r="B33" s="144"/>
      <c r="C33" s="144"/>
      <c r="D33" s="142"/>
      <c r="E33" s="142"/>
      <c r="F33" s="142"/>
      <c r="G33" s="142"/>
    </row>
    <row r="34" spans="1:7" s="10" customFormat="1" ht="40.5" customHeight="1" x14ac:dyDescent="0.25">
      <c r="A34" s="142" t="s">
        <v>189</v>
      </c>
      <c r="B34" s="144"/>
      <c r="C34" s="144"/>
      <c r="D34" s="142"/>
      <c r="E34" s="142"/>
      <c r="F34" s="142"/>
      <c r="G34" s="142"/>
    </row>
    <row r="35" spans="1:7" s="10" customFormat="1" ht="40.5" customHeight="1" x14ac:dyDescent="0.25">
      <c r="A35" s="142" t="s">
        <v>189</v>
      </c>
      <c r="B35" s="144"/>
      <c r="C35" s="144"/>
      <c r="D35" s="142"/>
      <c r="E35" s="142"/>
      <c r="F35" s="142"/>
      <c r="G35" s="142"/>
    </row>
    <row r="36" spans="1:7" s="10" customFormat="1" ht="40.5" customHeight="1" x14ac:dyDescent="0.25">
      <c r="A36" s="142" t="s">
        <v>189</v>
      </c>
      <c r="B36" s="144"/>
      <c r="C36" s="144"/>
      <c r="D36" s="142"/>
      <c r="E36" s="142"/>
      <c r="F36" s="142"/>
      <c r="G36" s="142"/>
    </row>
    <row r="37" spans="1:7" s="10" customFormat="1" ht="40.5" customHeight="1" x14ac:dyDescent="0.25">
      <c r="A37" s="142" t="s">
        <v>189</v>
      </c>
      <c r="B37" s="144"/>
      <c r="C37" s="144"/>
      <c r="D37" s="142"/>
      <c r="E37" s="142"/>
      <c r="F37" s="142"/>
      <c r="G37" s="142"/>
    </row>
    <row r="38" spans="1:7" s="10" customFormat="1" ht="40.5" customHeight="1" x14ac:dyDescent="0.25">
      <c r="A38" s="142" t="s">
        <v>189</v>
      </c>
      <c r="B38" s="144"/>
      <c r="C38" s="144"/>
      <c r="D38" s="142"/>
      <c r="E38" s="142"/>
      <c r="F38" s="142"/>
      <c r="G38" s="142"/>
    </row>
  </sheetData>
  <mergeCells count="2">
    <mergeCell ref="C9:D9"/>
    <mergeCell ref="C10:D10"/>
  </mergeCells>
  <phoneticPr fontId="28" type="noConversion"/>
  <pageMargins left="0.37" right="0.35" top="0.74803149606299213" bottom="0.74803149606299213" header="0.31496062992125984" footer="0.31496062992125984"/>
  <pageSetup paperSize="9" scale="64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126</vt:i4>
      </vt:variant>
    </vt:vector>
  </HeadingPairs>
  <TitlesOfParts>
    <vt:vector size="134" baseType="lpstr">
      <vt:lpstr>Fiche de renseignements compéti</vt:lpstr>
      <vt:lpstr>Organisation</vt:lpstr>
      <vt:lpstr>grille</vt:lpstr>
      <vt:lpstr>poules</vt:lpstr>
      <vt:lpstr>Classement</vt:lpstr>
      <vt:lpstr>calcul</vt:lpstr>
      <vt:lpstr>Arbitres</vt:lpstr>
      <vt:lpstr>emmargement</vt:lpstr>
      <vt:lpstr>_pa1</vt:lpstr>
      <vt:lpstr>_pa5</vt:lpstr>
      <vt:lpstr>_pa9</vt:lpstr>
      <vt:lpstr>_pb10</vt:lpstr>
      <vt:lpstr>_pb2</vt:lpstr>
      <vt:lpstr>_pb6</vt:lpstr>
      <vt:lpstr>_pc11</vt:lpstr>
      <vt:lpstr>_pc3</vt:lpstr>
      <vt:lpstr>_pc7</vt:lpstr>
      <vt:lpstr>_pd12</vt:lpstr>
      <vt:lpstr>_pd4</vt:lpstr>
      <vt:lpstr>_pd8</vt:lpstr>
      <vt:lpstr>catégorie</vt:lpstr>
      <vt:lpstr>date</vt:lpstr>
      <vt:lpstr>durée1</vt:lpstr>
      <vt:lpstr>duréematch</vt:lpstr>
      <vt:lpstr>e3c</vt:lpstr>
      <vt:lpstr>e3d</vt:lpstr>
      <vt:lpstr>e4x</vt:lpstr>
      <vt:lpstr>Equipes</vt:lpstr>
      <vt:lpstr>etiquette</vt:lpstr>
      <vt:lpstr>f_151</vt:lpstr>
      <vt:lpstr>f_152</vt:lpstr>
      <vt:lpstr>f_191</vt:lpstr>
      <vt:lpstr>f_192</vt:lpstr>
      <vt:lpstr>f_1e</vt:lpstr>
      <vt:lpstr>f_1f</vt:lpstr>
      <vt:lpstr>f_1f1</vt:lpstr>
      <vt:lpstr>f_1f2</vt:lpstr>
      <vt:lpstr>f_251</vt:lpstr>
      <vt:lpstr>f_252</vt:lpstr>
      <vt:lpstr>f_291</vt:lpstr>
      <vt:lpstr>f_292</vt:lpstr>
      <vt:lpstr>f_2e</vt:lpstr>
      <vt:lpstr>f_2f</vt:lpstr>
      <vt:lpstr>f_2f1</vt:lpstr>
      <vt:lpstr>f_2f2</vt:lpstr>
      <vt:lpstr>f_3e</vt:lpstr>
      <vt:lpstr>f_3f</vt:lpstr>
      <vt:lpstr>f_3g</vt:lpstr>
      <vt:lpstr>f_4g</vt:lpstr>
      <vt:lpstr>f1_1x</vt:lpstr>
      <vt:lpstr>f1_2g</vt:lpstr>
      <vt:lpstr>f2_1g</vt:lpstr>
      <vt:lpstr>f2_1y</vt:lpstr>
      <vt:lpstr>f3a</vt:lpstr>
      <vt:lpstr>f3b</vt:lpstr>
      <vt:lpstr>f4y</vt:lpstr>
      <vt:lpstr>g2x</vt:lpstr>
      <vt:lpstr>g2y</vt:lpstr>
      <vt:lpstr>g3x</vt:lpstr>
      <vt:lpstr>g3y</vt:lpstr>
      <vt:lpstr>grille!Impression_des_titres</vt:lpstr>
      <vt:lpstr>lieu</vt:lpstr>
      <vt:lpstr>m10b</vt:lpstr>
      <vt:lpstr>m10n</vt:lpstr>
      <vt:lpstr>m11b</vt:lpstr>
      <vt:lpstr>M11N</vt:lpstr>
      <vt:lpstr>m12b</vt:lpstr>
      <vt:lpstr>m12n</vt:lpstr>
      <vt:lpstr>m13b</vt:lpstr>
      <vt:lpstr>m13n</vt:lpstr>
      <vt:lpstr>m14b</vt:lpstr>
      <vt:lpstr>m14n</vt:lpstr>
      <vt:lpstr>m15b</vt:lpstr>
      <vt:lpstr>m15n</vt:lpstr>
      <vt:lpstr>m16b</vt:lpstr>
      <vt:lpstr>m16n</vt:lpstr>
      <vt:lpstr>m17b</vt:lpstr>
      <vt:lpstr>m17n</vt:lpstr>
      <vt:lpstr>m18b</vt:lpstr>
      <vt:lpstr>m18n</vt:lpstr>
      <vt:lpstr>m19b</vt:lpstr>
      <vt:lpstr>m19n</vt:lpstr>
      <vt:lpstr>m1b</vt:lpstr>
      <vt:lpstr>m1n</vt:lpstr>
      <vt:lpstr>m20b</vt:lpstr>
      <vt:lpstr>m20n</vt:lpstr>
      <vt:lpstr>m21b</vt:lpstr>
      <vt:lpstr>m21n</vt:lpstr>
      <vt:lpstr>m22b</vt:lpstr>
      <vt:lpstr>m22n</vt:lpstr>
      <vt:lpstr>m23b</vt:lpstr>
      <vt:lpstr>m23n</vt:lpstr>
      <vt:lpstr>m24b</vt:lpstr>
      <vt:lpstr>m24n</vt:lpstr>
      <vt:lpstr>m25b</vt:lpstr>
      <vt:lpstr>m25n</vt:lpstr>
      <vt:lpstr>m26b</vt:lpstr>
      <vt:lpstr>m26n</vt:lpstr>
      <vt:lpstr>m27b</vt:lpstr>
      <vt:lpstr>m27n</vt:lpstr>
      <vt:lpstr>m28b</vt:lpstr>
      <vt:lpstr>m28n</vt:lpstr>
      <vt:lpstr>m29b</vt:lpstr>
      <vt:lpstr>m29n</vt:lpstr>
      <vt:lpstr>m2n</vt:lpstr>
      <vt:lpstr>m30b</vt:lpstr>
      <vt:lpstr>m30n</vt:lpstr>
      <vt:lpstr>m3b</vt:lpstr>
      <vt:lpstr>m3n</vt:lpstr>
      <vt:lpstr>m4b</vt:lpstr>
      <vt:lpstr>m4n</vt:lpstr>
      <vt:lpstr>m5b</vt:lpstr>
      <vt:lpstr>m5n</vt:lpstr>
      <vt:lpstr>m6b</vt:lpstr>
      <vt:lpstr>m6n</vt:lpstr>
      <vt:lpstr>m7b</vt:lpstr>
      <vt:lpstr>m7n</vt:lpstr>
      <vt:lpstr>m8b</vt:lpstr>
      <vt:lpstr>m8n</vt:lpstr>
      <vt:lpstr>m9b</vt:lpstr>
      <vt:lpstr>m9n</vt:lpstr>
      <vt:lpstr>ma2b</vt:lpstr>
      <vt:lpstr>saison</vt:lpstr>
      <vt:lpstr>x1a</vt:lpstr>
      <vt:lpstr>x1b</vt:lpstr>
      <vt:lpstr>x2a</vt:lpstr>
      <vt:lpstr>x2b</vt:lpstr>
      <vt:lpstr>y1c</vt:lpstr>
      <vt:lpstr>y1d</vt:lpstr>
      <vt:lpstr>y2c</vt:lpstr>
      <vt:lpstr>y2d</vt:lpstr>
      <vt:lpstr>emmargement!Zone_d_impression</vt:lpstr>
      <vt:lpstr>grille!Zone_d_impression</vt:lpstr>
      <vt:lpstr>Organisation!Zone_d_impression</vt:lpstr>
    </vt:vector>
  </TitlesOfParts>
  <Company>FFESSM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CNHS</dc:creator>
  <cp:lastModifiedBy>ROUSSEL CECILE</cp:lastModifiedBy>
  <cp:lastPrinted>2013-06-25T15:09:12Z</cp:lastPrinted>
  <dcterms:created xsi:type="dcterms:W3CDTF">1997-11-08T13:41:57Z</dcterms:created>
  <dcterms:modified xsi:type="dcterms:W3CDTF">2017-03-31T12:07:52Z</dcterms:modified>
</cp:coreProperties>
</file>